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 tabRatio="925" activeTab="1"/>
  </bookViews>
  <sheets>
    <sheet name="BH66F2452+HT32F69595功耗评估(1.5V)" sheetId="14" r:id="rId1"/>
    <sheet name="HT32F67595功耗圖" sheetId="15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3" i="14" l="1"/>
  <c r="T23" i="14"/>
  <c r="S23" i="14"/>
  <c r="R31" i="14" l="1"/>
  <c r="P31" i="14"/>
  <c r="N31" i="14"/>
  <c r="M31" i="14"/>
  <c r="L31" i="14"/>
  <c r="K31" i="14"/>
  <c r="J31" i="14"/>
  <c r="I31" i="14"/>
  <c r="H31" i="14"/>
  <c r="E31" i="14"/>
  <c r="D31" i="14"/>
  <c r="C31" i="14"/>
  <c r="L41" i="14"/>
  <c r="D16" i="14"/>
  <c r="J41" i="14"/>
  <c r="T31" i="14"/>
  <c r="Q6" i="14"/>
  <c r="E30" i="14" s="1"/>
  <c r="Q5" i="14"/>
  <c r="P30" i="14" s="1"/>
  <c r="E22" i="14" s="1"/>
  <c r="F22" i="14" s="1"/>
  <c r="Q4" i="14"/>
  <c r="R30" i="14" s="1"/>
  <c r="Q3" i="14"/>
  <c r="T30" i="14" s="1"/>
  <c r="E24" i="14" s="1"/>
  <c r="F40" i="14" l="1"/>
  <c r="E40" i="14"/>
  <c r="G40" i="14"/>
  <c r="F24" i="14"/>
  <c r="T32" i="14"/>
  <c r="E16" i="14"/>
  <c r="F16" i="14" s="1"/>
  <c r="M30" i="14"/>
  <c r="M32" i="14" s="1"/>
  <c r="H40" i="14"/>
  <c r="J40" i="14"/>
  <c r="J42" i="14" s="1"/>
  <c r="H41" i="14"/>
  <c r="H42" i="14" s="1"/>
  <c r="K41" i="14"/>
  <c r="P32" i="14"/>
  <c r="R32" i="14"/>
  <c r="E23" i="14"/>
  <c r="F23" i="14" s="1"/>
  <c r="D17" i="14"/>
  <c r="D30" i="14"/>
  <c r="D32" i="14" s="1"/>
  <c r="I30" i="14"/>
  <c r="I32" i="14" s="1"/>
  <c r="D41" i="14"/>
  <c r="H30" i="14"/>
  <c r="H32" i="14" s="1"/>
  <c r="D15" i="14"/>
  <c r="J30" i="14"/>
  <c r="J32" i="14" s="1"/>
  <c r="C40" i="14"/>
  <c r="E41" i="14"/>
  <c r="C30" i="14"/>
  <c r="K40" i="14"/>
  <c r="C41" i="14"/>
  <c r="K30" i="14"/>
  <c r="K32" i="14" s="1"/>
  <c r="D40" i="14"/>
  <c r="F41" i="14"/>
  <c r="F42" i="14" s="1"/>
  <c r="L30" i="14"/>
  <c r="L32" i="14" s="1"/>
  <c r="G41" i="14"/>
  <c r="G42" i="14" s="1"/>
  <c r="C42" i="14" l="1"/>
  <c r="K42" i="14"/>
  <c r="E42" i="14"/>
  <c r="E15" i="14"/>
  <c r="E17" i="14" s="1"/>
  <c r="F17" i="14" s="1"/>
  <c r="L40" i="14"/>
  <c r="L42" i="14" s="1"/>
  <c r="D42" i="14"/>
  <c r="E32" i="14"/>
  <c r="N30" i="14"/>
  <c r="N32" i="14" s="1"/>
  <c r="E20" i="14"/>
  <c r="F20" i="14" s="1"/>
  <c r="C32" i="14"/>
  <c r="F15" i="14" l="1"/>
  <c r="G17" i="14" s="1"/>
  <c r="V30" i="14"/>
  <c r="V42" i="14"/>
  <c r="E9" i="14" s="1"/>
  <c r="V32" i="14"/>
  <c r="E21" i="14"/>
  <c r="F21" i="14" s="1"/>
  <c r="G21" i="14" s="1"/>
  <c r="V40" i="14"/>
  <c r="G15" i="14" l="1"/>
  <c r="G16" i="14"/>
  <c r="G22" i="14"/>
  <c r="G24" i="14"/>
  <c r="G20" i="14"/>
  <c r="E11" i="14"/>
  <c r="E12" i="14" s="1"/>
  <c r="E10" i="14"/>
  <c r="G23" i="14"/>
</calcChain>
</file>

<file path=xl/sharedStrings.xml><?xml version="1.0" encoding="utf-8"?>
<sst xmlns="http://schemas.openxmlformats.org/spreadsheetml/2006/main" count="187" uniqueCount="130">
  <si>
    <t>T1</t>
  </si>
  <si>
    <t>T2</t>
  </si>
  <si>
    <t>ON</t>
  </si>
  <si>
    <t>OFF</t>
  </si>
  <si>
    <t>T3</t>
    <phoneticPr fontId="5" type="noConversion"/>
  </si>
  <si>
    <t>(BLE)
HT32F67595</t>
    <phoneticPr fontId="3" type="noConversion"/>
  </si>
  <si>
    <t>BLE</t>
    <phoneticPr fontId="3" type="noConversion"/>
  </si>
  <si>
    <t>休眠</t>
    <phoneticPr fontId="3" type="noConversion"/>
  </si>
  <si>
    <t>AFE</t>
    <phoneticPr fontId="3" type="noConversion"/>
  </si>
  <si>
    <t>T3</t>
    <phoneticPr fontId="3" type="noConversion"/>
  </si>
  <si>
    <t>T4</t>
    <phoneticPr fontId="3" type="noConversion"/>
  </si>
  <si>
    <t>T5</t>
    <phoneticPr fontId="3" type="noConversion"/>
  </si>
  <si>
    <t>接收测量命令</t>
    <phoneticPr fontId="3" type="noConversion"/>
  </si>
  <si>
    <t>解析命令</t>
    <phoneticPr fontId="3" type="noConversion"/>
  </si>
  <si>
    <t>ADC测量</t>
    <phoneticPr fontId="3" type="noConversion"/>
  </si>
  <si>
    <t>等待BLE控制休眠</t>
    <phoneticPr fontId="3" type="noConversion"/>
  </si>
  <si>
    <t>T1_1</t>
    <phoneticPr fontId="3" type="noConversion"/>
  </si>
  <si>
    <t>T1_2</t>
    <phoneticPr fontId="3" type="noConversion"/>
  </si>
  <si>
    <t>T2_2</t>
    <phoneticPr fontId="3" type="noConversion"/>
  </si>
  <si>
    <t>T1_3</t>
    <phoneticPr fontId="3" type="noConversion"/>
  </si>
  <si>
    <t>T2_1</t>
    <phoneticPr fontId="3" type="noConversion"/>
  </si>
  <si>
    <t>连接</t>
    <phoneticPr fontId="3" type="noConversion"/>
  </si>
  <si>
    <t>连接次数</t>
    <phoneticPr fontId="3" type="noConversion"/>
  </si>
  <si>
    <t>广播次数</t>
    <phoneticPr fontId="3" type="noConversion"/>
  </si>
  <si>
    <t>发送次数</t>
    <phoneticPr fontId="3" type="noConversion"/>
  </si>
  <si>
    <t>PerC</t>
    <phoneticPr fontId="3" type="noConversion"/>
  </si>
  <si>
    <t>TTX</t>
    <phoneticPr fontId="3" type="noConversion"/>
  </si>
  <si>
    <t>TC</t>
    <phoneticPr fontId="3" type="noConversion"/>
  </si>
  <si>
    <t>TB</t>
    <phoneticPr fontId="3" type="noConversion"/>
  </si>
  <si>
    <t>TM</t>
    <phoneticPr fontId="3" type="noConversion"/>
  </si>
  <si>
    <t>N_TTX = 0 or 1</t>
    <phoneticPr fontId="3" type="noConversion"/>
  </si>
  <si>
    <t>N_TM = TTX / TM</t>
    <phoneticPr fontId="3" type="noConversion"/>
  </si>
  <si>
    <t>唤醒AFE延迟</t>
    <phoneticPr fontId="3" type="noConversion"/>
  </si>
  <si>
    <t>OS程序调度：唤醒</t>
    <phoneticPr fontId="3" type="noConversion"/>
  </si>
  <si>
    <t>数据解析
OS程序调度：BLE休眠</t>
    <phoneticPr fontId="3" type="noConversion"/>
  </si>
  <si>
    <t>BLE 协议栈运行</t>
    <phoneticPr fontId="3" type="noConversion"/>
  </si>
  <si>
    <t>发送</t>
    <phoneticPr fontId="3" type="noConversion"/>
  </si>
  <si>
    <t>耗电量</t>
    <phoneticPr fontId="3" type="noConversion"/>
  </si>
  <si>
    <t>单次周期时间</t>
    <phoneticPr fontId="3" type="noConversion"/>
  </si>
  <si>
    <t>BLE平均功耗</t>
    <phoneticPr fontId="3" type="noConversion"/>
  </si>
  <si>
    <t>发送测量数据</t>
    <phoneticPr fontId="3" type="noConversion"/>
  </si>
  <si>
    <t>唤醒BLE延迟</t>
    <phoneticPr fontId="3" type="noConversion"/>
  </si>
  <si>
    <t>电流计算</t>
    <phoneticPr fontId="3" type="noConversion"/>
  </si>
  <si>
    <t>T1_4</t>
    <phoneticPr fontId="3" type="noConversion"/>
  </si>
  <si>
    <t>T1_5</t>
    <phoneticPr fontId="3" type="noConversion"/>
  </si>
  <si>
    <t>ON</t>
    <phoneticPr fontId="5" type="noConversion"/>
  </si>
  <si>
    <t>OFF</t>
    <phoneticPr fontId="5" type="noConversion"/>
  </si>
  <si>
    <t>总电流μA</t>
    <phoneticPr fontId="3" type="noConversion"/>
  </si>
  <si>
    <t>Day</t>
    <phoneticPr fontId="3" type="noConversion"/>
  </si>
  <si>
    <t>IAVG</t>
    <phoneticPr fontId="3" type="noConversion"/>
  </si>
  <si>
    <t>BATC</t>
    <phoneticPr fontId="3" type="noConversion"/>
  </si>
  <si>
    <t>功能</t>
    <phoneticPr fontId="5" type="noConversion"/>
  </si>
  <si>
    <t>N_TC = TTX / TC * PerC</t>
    <phoneticPr fontId="3" type="noConversion"/>
  </si>
  <si>
    <t>广播间隔(ms)</t>
    <phoneticPr fontId="5" type="noConversion"/>
  </si>
  <si>
    <t>N_TB = TTX / TB * （1 - PerC）</t>
    <phoneticPr fontId="3" type="noConversion"/>
  </si>
  <si>
    <t>测量间隔(ms)</t>
    <phoneticPr fontId="5" type="noConversion"/>
  </si>
  <si>
    <t>功能模块</t>
    <phoneticPr fontId="3" type="noConversion"/>
  </si>
  <si>
    <t>高速时钟稳定</t>
    <phoneticPr fontId="3" type="noConversion"/>
  </si>
  <si>
    <t>T1_6</t>
    <phoneticPr fontId="3" type="noConversion"/>
  </si>
  <si>
    <t>T1_7</t>
    <phoneticPr fontId="3" type="noConversion"/>
  </si>
  <si>
    <t>T1_8</t>
    <phoneticPr fontId="3" type="noConversion"/>
  </si>
  <si>
    <t>IAFE</t>
    <phoneticPr fontId="3" type="noConversion"/>
  </si>
  <si>
    <t>IBLE</t>
    <phoneticPr fontId="3" type="noConversion"/>
  </si>
  <si>
    <t>AFE平均功耗μA</t>
    <phoneticPr fontId="3" type="noConversion"/>
  </si>
  <si>
    <t>BLE平均功耗μA</t>
    <phoneticPr fontId="3" type="noConversion"/>
  </si>
  <si>
    <t>输入</t>
    <phoneticPr fontId="3" type="noConversion"/>
  </si>
  <si>
    <t>输出</t>
    <phoneticPr fontId="3" type="noConversion"/>
  </si>
  <si>
    <t>连接时间占比(%)</t>
    <phoneticPr fontId="3" type="noConversion"/>
  </si>
  <si>
    <t>发送间隔(ms)</t>
    <phoneticPr fontId="5" type="noConversion"/>
  </si>
  <si>
    <t>连接间隔(ms)</t>
    <phoneticPr fontId="5" type="noConversion"/>
  </si>
  <si>
    <t>测量次数</t>
    <phoneticPr fontId="3" type="noConversion"/>
  </si>
  <si>
    <t>电池容量(mAh)</t>
    <phoneticPr fontId="3" type="noConversion"/>
  </si>
  <si>
    <t>总平均功耗μA</t>
    <phoneticPr fontId="3" type="noConversion"/>
  </si>
  <si>
    <t>说明</t>
    <phoneticPr fontId="3" type="noConversion"/>
  </si>
  <si>
    <t>发送测量命令</t>
    <phoneticPr fontId="3" type="noConversion"/>
  </si>
  <si>
    <t>休眠等待AFE测量结果</t>
    <phoneticPr fontId="3" type="noConversion"/>
  </si>
  <si>
    <t>接收测量数据</t>
    <phoneticPr fontId="3" type="noConversion"/>
  </si>
  <si>
    <t>广播</t>
    <phoneticPr fontId="3" type="noConversion"/>
  </si>
  <si>
    <t>电流(μA)</t>
    <phoneticPr fontId="3" type="noConversion"/>
  </si>
  <si>
    <t>BLE发送测量命令</t>
    <phoneticPr fontId="3" type="noConversion"/>
  </si>
  <si>
    <t>AFE数据测量</t>
    <phoneticPr fontId="3" type="noConversion"/>
  </si>
  <si>
    <t>BLE唤醒AFE</t>
    <phoneticPr fontId="3" type="noConversion"/>
  </si>
  <si>
    <t>UART</t>
    <phoneticPr fontId="3" type="noConversion"/>
  </si>
  <si>
    <t>AFE唤醒BLE</t>
    <phoneticPr fontId="3" type="noConversion"/>
  </si>
  <si>
    <t>AFE发送测量数据</t>
    <phoneticPr fontId="3" type="noConversion"/>
  </si>
  <si>
    <t>BLE控制休眠AFE</t>
    <phoneticPr fontId="3" type="noConversion"/>
  </si>
  <si>
    <t>CS拉高</t>
    <phoneticPr fontId="3" type="noConversion"/>
  </si>
  <si>
    <t>AFE控制休眠BLE</t>
    <phoneticPr fontId="3" type="noConversion"/>
  </si>
  <si>
    <t>DRDY拉高</t>
    <phoneticPr fontId="3" type="noConversion"/>
  </si>
  <si>
    <r>
      <rPr>
        <b/>
        <sz val="18"/>
        <color rgb="FF0000FF"/>
        <rFont val="等线"/>
        <family val="3"/>
        <charset val="134"/>
      </rPr>
      <t>BLE</t>
    </r>
    <r>
      <rPr>
        <b/>
        <sz val="18"/>
        <color theme="1"/>
        <rFont val="Malgun Gothic Semilight"/>
        <family val="2"/>
        <charset val="134"/>
      </rPr>
      <t>↔</t>
    </r>
    <r>
      <rPr>
        <b/>
        <sz val="18"/>
        <color rgb="FF0CA45C"/>
        <rFont val="等线"/>
        <family val="3"/>
        <charset val="134"/>
      </rPr>
      <t>AFE</t>
    </r>
    <phoneticPr fontId="3" type="noConversion"/>
  </si>
  <si>
    <t>CS拉低延迟</t>
    <phoneticPr fontId="3" type="noConversion"/>
  </si>
  <si>
    <t>DRDY拉低延迟</t>
    <phoneticPr fontId="3" type="noConversion"/>
  </si>
  <si>
    <t>以发送间隔为周期</t>
    <phoneticPr fontId="3" type="noConversion"/>
  </si>
  <si>
    <t>OPA1</t>
    <phoneticPr fontId="3" type="noConversion"/>
  </si>
  <si>
    <t>OPA2</t>
    <phoneticPr fontId="3" type="noConversion"/>
  </si>
  <si>
    <t>OPA3</t>
    <phoneticPr fontId="3" type="noConversion"/>
  </si>
  <si>
    <t>DAC1</t>
    <phoneticPr fontId="3" type="noConversion"/>
  </si>
  <si>
    <t>DAC2</t>
    <phoneticPr fontId="3" type="noConversion"/>
  </si>
  <si>
    <t>DAC3</t>
    <phoneticPr fontId="3" type="noConversion"/>
  </si>
  <si>
    <t>DACVREF</t>
    <phoneticPr fontId="3" type="noConversion"/>
  </si>
  <si>
    <t>ADC</t>
    <phoneticPr fontId="3" type="noConversion"/>
  </si>
  <si>
    <t>MCU@4MHz</t>
    <phoneticPr fontId="3" type="noConversion"/>
  </si>
  <si>
    <t>HALT</t>
    <phoneticPr fontId="3" type="noConversion"/>
  </si>
  <si>
    <t>0：全广播；100：全连接；1~99：广播+连接</t>
    <phoneticPr fontId="3" type="noConversion"/>
  </si>
  <si>
    <t>工作状态
测量电路开启
MCU 4MHz运行
ADC未测量</t>
    <phoneticPr fontId="3" type="noConversion"/>
  </si>
  <si>
    <t>激励状态
测量电路开启
MCU休眠
ADC未测量</t>
    <phoneticPr fontId="3" type="noConversion"/>
  </si>
  <si>
    <t>时间(ms)</t>
    <phoneticPr fontId="3" type="noConversion"/>
  </si>
  <si>
    <t>唤醒</t>
    <phoneticPr fontId="3" type="noConversion"/>
  </si>
  <si>
    <t>典型工作时间(ms)
(测量值)</t>
    <phoneticPr fontId="3" type="noConversion"/>
  </si>
  <si>
    <t>OS程序调度：
UART 消息队列
控制AFE休眠</t>
    <phoneticPr fontId="3" type="noConversion"/>
  </si>
  <si>
    <t>典型耗电量(μA*s)</t>
    <phoneticPr fontId="3" type="noConversion"/>
  </si>
  <si>
    <t>耗电占比</t>
    <phoneticPr fontId="3" type="noConversion"/>
  </si>
  <si>
    <r>
      <t>AFE</t>
    </r>
    <r>
      <rPr>
        <sz val="12"/>
        <color rgb="FF3F3F76"/>
        <rFont val="等线"/>
        <family val="2"/>
        <charset val="134"/>
        <scheme val="minor"/>
      </rPr>
      <t>↔</t>
    </r>
    <r>
      <rPr>
        <sz val="12"/>
        <color rgb="FF3F3F76"/>
        <rFont val="等线"/>
        <family val="3"/>
        <charset val="134"/>
        <scheme val="minor"/>
      </rPr>
      <t>BLE波特率</t>
    </r>
    <phoneticPr fontId="3" type="noConversion"/>
  </si>
  <si>
    <t>T1工作</t>
    <phoneticPr fontId="3" type="noConversion"/>
  </si>
  <si>
    <t>T2休眠</t>
    <phoneticPr fontId="3" type="noConversion"/>
  </si>
  <si>
    <t>T3广播</t>
    <phoneticPr fontId="3" type="noConversion"/>
  </si>
  <si>
    <t>T4连接</t>
    <phoneticPr fontId="3" type="noConversion"/>
  </si>
  <si>
    <t>T5数据发送（17Bytes)</t>
    <phoneticPr fontId="3" type="noConversion"/>
  </si>
  <si>
    <t>T3激励休眠</t>
    <phoneticPr fontId="3" type="noConversion"/>
  </si>
  <si>
    <t>T2工作测量</t>
    <phoneticPr fontId="3" type="noConversion"/>
  </si>
  <si>
    <t>可使用天数(容量80%)</t>
    <phoneticPr fontId="3" type="noConversion"/>
  </si>
  <si>
    <t>AFE平均功耗</t>
    <phoneticPr fontId="3" type="noConversion"/>
  </si>
  <si>
    <t>MCU@400kHz</t>
    <phoneticPr fontId="3" type="noConversion"/>
  </si>
  <si>
    <t>MCU@4MHz空闲模式</t>
    <phoneticPr fontId="3" type="noConversion"/>
  </si>
  <si>
    <t>MCU@400kHz空闲模式</t>
    <phoneticPr fontId="3" type="noConversion"/>
  </si>
  <si>
    <t>测量状态
测量电路开启
MCU 400kHz空闲模式下运行
ADC测量</t>
    <phoneticPr fontId="3" type="noConversion"/>
  </si>
  <si>
    <t>(AFE)
BH66F2452</t>
    <phoneticPr fontId="3" type="noConversion"/>
  </si>
  <si>
    <t>实测工作电流(μA)</t>
    <phoneticPr fontId="3" type="noConversion"/>
  </si>
  <si>
    <t>实测工作电流(μA)
(测量值)</t>
    <phoneticPr fontId="3" type="noConversion"/>
  </si>
  <si>
    <t xml:space="preserve">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</si>
</sst>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00"/>
  </numFmts>
  <fonts count="27" x14ac:knownFonts="1">
    <font>
      <sz val="11"/>
      <color theme="1"/>
      <name val="等线"/>
      <family val="2"/>
      <scheme val="minor"/>
    </font>
    <font>
      <sz val="12"/>
      <color rgb="FF3F3F76"/>
      <name val="等线"/>
      <family val="2"/>
      <charset val="136"/>
      <scheme val="minor"/>
    </font>
    <font>
      <b/>
      <sz val="12"/>
      <color rgb="FF3F3F3F"/>
      <name val="等线"/>
      <family val="2"/>
      <charset val="136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2"/>
      <charset val="134"/>
      <scheme val="minor"/>
    </font>
    <font>
      <sz val="9"/>
      <name val="等线"/>
      <family val="3"/>
      <charset val="136"/>
      <scheme val="minor"/>
    </font>
    <font>
      <i/>
      <sz val="12"/>
      <color rgb="FF7F7F7F"/>
      <name val="等线"/>
      <family val="2"/>
      <charset val="134"/>
      <scheme val="minor"/>
    </font>
    <font>
      <sz val="12"/>
      <color rgb="FF3F3F76"/>
      <name val="等线"/>
      <family val="2"/>
      <charset val="134"/>
      <scheme val="minor"/>
    </font>
    <font>
      <sz val="11"/>
      <color theme="1"/>
      <name val="等线"/>
      <family val="3"/>
      <charset val="134"/>
    </font>
    <font>
      <sz val="12"/>
      <color rgb="FF3F3F76"/>
      <name val="等线"/>
      <family val="3"/>
      <charset val="134"/>
    </font>
    <font>
      <b/>
      <sz val="12"/>
      <color rgb="FF3F3F3F"/>
      <name val="等线"/>
      <family val="3"/>
      <charset val="134"/>
    </font>
    <font>
      <i/>
      <sz val="12"/>
      <color rgb="FF7F7F7F"/>
      <name val="等线"/>
      <family val="3"/>
      <charset val="134"/>
    </font>
    <font>
      <b/>
      <sz val="12"/>
      <color theme="1"/>
      <name val="等线"/>
      <family val="3"/>
      <charset val="134"/>
    </font>
    <font>
      <sz val="12"/>
      <color theme="1"/>
      <name val="等线"/>
      <family val="3"/>
      <charset val="134"/>
    </font>
    <font>
      <b/>
      <sz val="12"/>
      <color rgb="FF0000FF"/>
      <name val="等线"/>
      <family val="3"/>
      <charset val="134"/>
    </font>
    <font>
      <b/>
      <sz val="18"/>
      <color theme="1"/>
      <name val="等线"/>
      <family val="3"/>
      <charset val="134"/>
    </font>
    <font>
      <sz val="12"/>
      <color rgb="FF3F3F76"/>
      <name val="等线"/>
      <family val="3"/>
      <charset val="134"/>
      <scheme val="minor"/>
    </font>
    <font>
      <sz val="12"/>
      <color rgb="FF0000FF"/>
      <name val="等线"/>
      <family val="3"/>
      <charset val="134"/>
    </font>
    <font>
      <sz val="12"/>
      <color rgb="FF0CA45C"/>
      <name val="等线"/>
      <family val="3"/>
      <charset val="134"/>
    </font>
    <font>
      <b/>
      <sz val="18"/>
      <color rgb="FF0000FF"/>
      <name val="等线"/>
      <family val="3"/>
      <charset val="134"/>
    </font>
    <font>
      <b/>
      <sz val="22"/>
      <color rgb="FF0000FF"/>
      <name val="等线"/>
      <family val="3"/>
      <charset val="134"/>
    </font>
    <font>
      <b/>
      <sz val="18"/>
      <color theme="1"/>
      <name val="Malgun Gothic Semilight"/>
      <family val="2"/>
      <charset val="134"/>
    </font>
    <font>
      <b/>
      <sz val="18"/>
      <color rgb="FF0CA45C"/>
      <name val="等线"/>
      <family val="3"/>
      <charset val="134"/>
    </font>
    <font>
      <b/>
      <sz val="22"/>
      <color rgb="FF0CA45C"/>
      <name val="等线"/>
      <family val="3"/>
      <charset val="134"/>
    </font>
    <font>
      <b/>
      <sz val="12"/>
      <color rgb="FF0CA45C"/>
      <name val="等线"/>
      <family val="2"/>
      <charset val="136"/>
      <scheme val="minor"/>
    </font>
    <font>
      <b/>
      <sz val="12"/>
      <color rgb="FF0CA45C"/>
      <name val="等线"/>
      <family val="3"/>
      <charset val="134"/>
      <scheme val="minor"/>
    </font>
    <font>
      <sz val="11"/>
      <color rgb="FF0CA45C"/>
      <name val="等线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2" borderId="1" applyNumberFormat="0" applyAlignment="0" applyProtection="0">
      <alignment vertical="center"/>
    </xf>
    <xf numFmtId="0" fontId="2" fillId="3" borderId="2" applyNumberFormat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1" applyNumberFormat="0" applyAlignment="0" applyProtection="0">
      <alignment vertical="center"/>
    </xf>
  </cellStyleXfs>
  <cellXfs count="124">
    <xf numFmtId="0" fontId="0" fillId="0" borderId="0" xfId="0"/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7" borderId="4" xfId="0" applyFont="1" applyFill="1" applyBorder="1" applyAlignment="1">
      <alignment horizontal="center" vertical="center"/>
    </xf>
    <xf numFmtId="0" fontId="15" fillId="5" borderId="18" xfId="0" applyFont="1" applyFill="1" applyBorder="1" applyAlignment="1">
      <alignment horizontal="center" vertical="center"/>
    </xf>
    <xf numFmtId="0" fontId="15" fillId="6" borderId="18" xfId="0" applyFont="1" applyFill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15" fillId="8" borderId="18" xfId="0" applyFont="1" applyFill="1" applyBorder="1" applyAlignment="1">
      <alignment horizontal="center" vertical="center"/>
    </xf>
    <xf numFmtId="0" fontId="13" fillId="0" borderId="21" xfId="0" applyFont="1" applyBorder="1" applyAlignment="1">
      <alignment horizontal="center" vertical="center" wrapText="1"/>
    </xf>
    <xf numFmtId="0" fontId="15" fillId="8" borderId="1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5" fillId="9" borderId="18" xfId="0" applyFont="1" applyFill="1" applyBorder="1" applyAlignment="1">
      <alignment horizontal="center" vertical="center"/>
    </xf>
    <xf numFmtId="176" fontId="10" fillId="3" borderId="4" xfId="2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2" fontId="13" fillId="0" borderId="22" xfId="0" applyNumberFormat="1" applyFont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/>
    </xf>
    <xf numFmtId="0" fontId="10" fillId="4" borderId="4" xfId="2" applyFont="1" applyFill="1" applyBorder="1" applyAlignment="1">
      <alignment horizontal="center" vertical="center"/>
    </xf>
    <xf numFmtId="0" fontId="10" fillId="3" borderId="4" xfId="2" applyFont="1" applyBorder="1" applyAlignment="1">
      <alignment horizontal="center" vertical="center"/>
    </xf>
    <xf numFmtId="0" fontId="14" fillId="0" borderId="4" xfId="2" applyFont="1" applyFill="1" applyBorder="1" applyAlignment="1">
      <alignment horizontal="center" vertical="center"/>
    </xf>
    <xf numFmtId="0" fontId="1" fillId="2" borderId="1" xfId="1" applyAlignment="1">
      <alignment horizontal="center" vertical="center"/>
    </xf>
    <xf numFmtId="0" fontId="9" fillId="2" borderId="4" xfId="1" applyFont="1" applyBorder="1" applyAlignment="1">
      <alignment horizontal="center" vertical="center"/>
    </xf>
    <xf numFmtId="0" fontId="10" fillId="8" borderId="4" xfId="2" applyFont="1" applyFill="1" applyBorder="1" applyAlignment="1">
      <alignment horizontal="center" vertical="center"/>
    </xf>
    <xf numFmtId="0" fontId="15" fillId="7" borderId="5" xfId="0" applyFont="1" applyFill="1" applyBorder="1" applyAlignment="1">
      <alignment horizontal="center" vertical="center"/>
    </xf>
    <xf numFmtId="0" fontId="10" fillId="9" borderId="4" xfId="2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5" fillId="8" borderId="25" xfId="0" applyFont="1" applyFill="1" applyBorder="1" applyAlignment="1">
      <alignment horizontal="center" vertical="center"/>
    </xf>
    <xf numFmtId="0" fontId="15" fillId="9" borderId="25" xfId="0" applyFont="1" applyFill="1" applyBorder="1" applyAlignment="1">
      <alignment horizontal="center" vertical="center"/>
    </xf>
    <xf numFmtId="0" fontId="6" fillId="0" borderId="0" xfId="4" applyAlignment="1">
      <alignment horizontal="center" vertical="center"/>
    </xf>
    <xf numFmtId="0" fontId="11" fillId="3" borderId="4" xfId="4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center" vertical="center"/>
    </xf>
    <xf numFmtId="0" fontId="6" fillId="0" borderId="17" xfId="4" applyBorder="1" applyAlignment="1">
      <alignment horizontal="left" vertical="center"/>
    </xf>
    <xf numFmtId="0" fontId="9" fillId="2" borderId="4" xfId="1" applyFont="1" applyBorder="1" applyAlignment="1" applyProtection="1">
      <alignment horizontal="center" vertical="center"/>
      <protection locked="0"/>
    </xf>
    <xf numFmtId="0" fontId="2" fillId="3" borderId="2" xfId="2" applyAlignment="1">
      <alignment horizontal="center" vertical="center"/>
    </xf>
    <xf numFmtId="0" fontId="2" fillId="3" borderId="2" xfId="2" applyAlignment="1">
      <alignment horizontal="center" vertical="center" wrapText="1"/>
    </xf>
    <xf numFmtId="177" fontId="2" fillId="3" borderId="2" xfId="2" applyNumberFormat="1" applyAlignment="1">
      <alignment horizontal="center" vertical="center"/>
    </xf>
    <xf numFmtId="0" fontId="13" fillId="11" borderId="4" xfId="0" applyFont="1" applyFill="1" applyBorder="1" applyAlignment="1">
      <alignment horizontal="center" vertical="center"/>
    </xf>
    <xf numFmtId="2" fontId="2" fillId="3" borderId="2" xfId="2" applyNumberFormat="1" applyAlignment="1">
      <alignment horizontal="center" vertical="center" wrapText="1"/>
    </xf>
    <xf numFmtId="10" fontId="2" fillId="3" borderId="2" xfId="2" applyNumberFormat="1" applyAlignment="1">
      <alignment horizontal="center" vertical="center"/>
    </xf>
    <xf numFmtId="0" fontId="15" fillId="4" borderId="6" xfId="0" applyFont="1" applyFill="1" applyBorder="1" applyAlignment="1">
      <alignment vertical="center"/>
    </xf>
    <xf numFmtId="0" fontId="13" fillId="0" borderId="4" xfId="0" applyFont="1" applyBorder="1" applyAlignment="1">
      <alignment vertical="center" wrapText="1"/>
    </xf>
    <xf numFmtId="0" fontId="13" fillId="0" borderId="4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5" fillId="8" borderId="5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3" borderId="4" xfId="2" applyBorder="1" applyAlignment="1">
      <alignment horizontal="center" vertical="center"/>
    </xf>
    <xf numFmtId="1" fontId="13" fillId="0" borderId="14" xfId="0" applyNumberFormat="1" applyFont="1" applyBorder="1" applyAlignment="1">
      <alignment horizontal="center" vertical="center"/>
    </xf>
    <xf numFmtId="1" fontId="13" fillId="0" borderId="27" xfId="0" applyNumberFormat="1" applyFont="1" applyBorder="1" applyAlignment="1">
      <alignment horizontal="center" vertical="center"/>
    </xf>
    <xf numFmtId="1" fontId="13" fillId="0" borderId="20" xfId="0" applyNumberFormat="1" applyFont="1" applyBorder="1" applyAlignment="1">
      <alignment horizontal="center" vertical="center"/>
    </xf>
    <xf numFmtId="1" fontId="13" fillId="0" borderId="10" xfId="0" applyNumberFormat="1" applyFont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76" fontId="13" fillId="0" borderId="21" xfId="0" applyNumberFormat="1" applyFont="1" applyBorder="1" applyAlignment="1">
      <alignment horizontal="center" vertical="center"/>
    </xf>
    <xf numFmtId="176" fontId="13" fillId="0" borderId="26" xfId="0" applyNumberFormat="1" applyFont="1" applyBorder="1" applyAlignment="1">
      <alignment horizontal="center" vertical="center"/>
    </xf>
    <xf numFmtId="176" fontId="13" fillId="0" borderId="19" xfId="0" applyNumberFormat="1" applyFont="1" applyBorder="1" applyAlignment="1">
      <alignment horizontal="center" vertical="center"/>
    </xf>
    <xf numFmtId="176" fontId="13" fillId="0" borderId="8" xfId="0" applyNumberFormat="1" applyFont="1" applyBorder="1" applyAlignment="1">
      <alignment horizontal="center" vertical="center"/>
    </xf>
    <xf numFmtId="176" fontId="13" fillId="0" borderId="21" xfId="0" applyNumberFormat="1" applyFont="1" applyBorder="1" applyAlignment="1">
      <alignment horizontal="center" vertical="center" wrapText="1"/>
    </xf>
    <xf numFmtId="176" fontId="13" fillId="0" borderId="26" xfId="0" applyNumberFormat="1" applyFont="1" applyBorder="1" applyAlignment="1">
      <alignment horizontal="center" vertical="center" wrapText="1"/>
    </xf>
    <xf numFmtId="176" fontId="13" fillId="0" borderId="8" xfId="0" applyNumberFormat="1" applyFont="1" applyBorder="1" applyAlignment="1">
      <alignment horizontal="center" vertical="center" wrapText="1"/>
    </xf>
    <xf numFmtId="0" fontId="18" fillId="2" borderId="4" xfId="1" applyFont="1" applyBorder="1" applyAlignment="1">
      <alignment horizontal="center" vertical="center"/>
    </xf>
    <xf numFmtId="0" fontId="24" fillId="3" borderId="2" xfId="2" applyFont="1" applyAlignment="1">
      <alignment horizontal="center" vertical="center" wrapText="1"/>
    </xf>
    <xf numFmtId="0" fontId="25" fillId="3" borderId="2" xfId="2" applyFont="1" applyAlignment="1">
      <alignment horizontal="center" vertical="center"/>
    </xf>
    <xf numFmtId="176" fontId="25" fillId="3" borderId="2" xfId="2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3" borderId="2" xfId="2" applyFont="1" applyAlignment="1">
      <alignment horizontal="center" vertical="center" wrapText="1"/>
    </xf>
    <xf numFmtId="2" fontId="18" fillId="2" borderId="4" xfId="1" applyNumberFormat="1" applyFont="1" applyBorder="1" applyAlignment="1">
      <alignment horizontal="center" vertical="center"/>
    </xf>
    <xf numFmtId="2" fontId="17" fillId="2" borderId="4" xfId="1" applyNumberFormat="1" applyFont="1" applyBorder="1" applyAlignment="1">
      <alignment horizontal="center" vertical="center"/>
    </xf>
    <xf numFmtId="0" fontId="10" fillId="3" borderId="15" xfId="2" applyFont="1" applyBorder="1" applyAlignment="1">
      <alignment horizontal="center" vertical="center"/>
    </xf>
    <xf numFmtId="0" fontId="10" fillId="3" borderId="16" xfId="2" applyFont="1" applyBorder="1" applyAlignment="1">
      <alignment horizontal="center" vertical="center"/>
    </xf>
    <xf numFmtId="0" fontId="11" fillId="3" borderId="15" xfId="4" applyFont="1" applyFill="1" applyBorder="1" applyAlignment="1">
      <alignment horizontal="center" vertical="center" wrapText="1"/>
    </xf>
    <xf numFmtId="0" fontId="11" fillId="3" borderId="16" xfId="4" applyFont="1" applyFill="1" applyBorder="1" applyAlignment="1">
      <alignment horizontal="center" vertical="center" wrapText="1"/>
    </xf>
    <xf numFmtId="176" fontId="13" fillId="0" borderId="8" xfId="0" applyNumberFormat="1" applyFont="1" applyBorder="1" applyAlignment="1">
      <alignment horizontal="center" vertical="center"/>
    </xf>
    <xf numFmtId="176" fontId="13" fillId="0" borderId="4" xfId="0" applyNumberFormat="1" applyFont="1" applyBorder="1" applyAlignment="1">
      <alignment horizontal="center" vertical="center"/>
    </xf>
    <xf numFmtId="176" fontId="13" fillId="0" borderId="9" xfId="0" applyNumberFormat="1" applyFont="1" applyBorder="1" applyAlignment="1">
      <alignment horizontal="center" vertical="center"/>
    </xf>
    <xf numFmtId="0" fontId="7" fillId="2" borderId="4" xfId="5" applyBorder="1" applyAlignment="1">
      <alignment horizontal="center" vertical="center"/>
    </xf>
    <xf numFmtId="0" fontId="2" fillId="3" borderId="4" xfId="2" applyBorder="1" applyAlignment="1">
      <alignment horizontal="center" vertical="center"/>
    </xf>
    <xf numFmtId="0" fontId="12" fillId="0" borderId="4" xfId="3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176" fontId="13" fillId="0" borderId="8" xfId="0" applyNumberFormat="1" applyFont="1" applyBorder="1" applyAlignment="1">
      <alignment horizontal="center" vertical="center" wrapText="1"/>
    </xf>
    <xf numFmtId="176" fontId="13" fillId="0" borderId="4" xfId="0" applyNumberFormat="1" applyFont="1" applyBorder="1" applyAlignment="1">
      <alignment horizontal="center" vertical="center" wrapText="1"/>
    </xf>
    <xf numFmtId="176" fontId="13" fillId="0" borderId="9" xfId="0" applyNumberFormat="1" applyFont="1" applyBorder="1" applyAlignment="1">
      <alignment horizontal="center" vertical="center" wrapText="1"/>
    </xf>
    <xf numFmtId="0" fontId="12" fillId="0" borderId="28" xfId="3" applyFont="1" applyBorder="1" applyAlignment="1">
      <alignment horizontal="center" vertical="center" wrapText="1"/>
    </xf>
    <xf numFmtId="0" fontId="12" fillId="0" borderId="29" xfId="3" applyFont="1" applyBorder="1" applyAlignment="1">
      <alignment horizontal="center" vertical="center" wrapText="1"/>
    </xf>
    <xf numFmtId="0" fontId="12" fillId="0" borderId="30" xfId="3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1" fontId="13" fillId="0" borderId="10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" fontId="13" fillId="0" borderId="1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15" fillId="8" borderId="5" xfId="0" applyFont="1" applyFill="1" applyBorder="1" applyAlignment="1">
      <alignment horizontal="center" vertical="center"/>
    </xf>
    <xf numFmtId="0" fontId="15" fillId="8" borderId="6" xfId="0" applyFont="1" applyFill="1" applyBorder="1" applyAlignment="1">
      <alignment horizontal="center" vertical="center"/>
    </xf>
    <xf numFmtId="0" fontId="15" fillId="4" borderId="25" xfId="0" applyFont="1" applyFill="1" applyBorder="1" applyAlignment="1">
      <alignment horizontal="center" vertical="center"/>
    </xf>
    <xf numFmtId="0" fontId="15" fillId="4" borderId="33" xfId="0" applyFont="1" applyFill="1" applyBorder="1" applyAlignment="1">
      <alignment horizontal="center" vertical="center"/>
    </xf>
    <xf numFmtId="0" fontId="15" fillId="4" borderId="34" xfId="0" applyFont="1" applyFill="1" applyBorder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176" fontId="13" fillId="0" borderId="26" xfId="0" applyNumberFormat="1" applyFont="1" applyBorder="1" applyAlignment="1">
      <alignment horizontal="center" vertical="center"/>
    </xf>
    <xf numFmtId="176" fontId="13" fillId="0" borderId="35" xfId="0" applyNumberFormat="1" applyFont="1" applyBorder="1" applyAlignment="1">
      <alignment horizontal="center" vertical="center"/>
    </xf>
    <xf numFmtId="176" fontId="13" fillId="0" borderId="16" xfId="0" applyNumberFormat="1" applyFont="1" applyBorder="1" applyAlignment="1">
      <alignment horizontal="center" vertical="center"/>
    </xf>
    <xf numFmtId="1" fontId="13" fillId="0" borderId="27" xfId="0" applyNumberFormat="1" applyFont="1" applyBorder="1" applyAlignment="1">
      <alignment horizontal="center" vertical="center"/>
    </xf>
    <xf numFmtId="1" fontId="13" fillId="0" borderId="36" xfId="0" applyNumberFormat="1" applyFont="1" applyBorder="1" applyAlignment="1">
      <alignment horizontal="center" vertical="center"/>
    </xf>
    <xf numFmtId="1" fontId="13" fillId="0" borderId="37" xfId="0" applyNumberFormat="1" applyFont="1" applyBorder="1" applyAlignment="1">
      <alignment horizontal="center" vertical="center"/>
    </xf>
  </cellXfs>
  <cellStyles count="6">
    <cellStyle name="合計" xfId="3" builtinId="25"/>
    <cellStyle name="輸出" xfId="2" builtinId="21"/>
    <cellStyle name="輸入" xfId="1" builtinId="20"/>
    <cellStyle name="輸入 2" xfId="5"/>
    <cellStyle name="說明文字" xfId="4" builtinId="53"/>
    <cellStyle name="一般" xfId="0" builtinId="0"/>
  </cellStyles>
  <dxfs count="3">
    <dxf>
      <fill>
        <patternFill>
          <bgColor theme="9" tint="0.39994506668294322"/>
        </patternFill>
      </fill>
    </dxf>
    <dxf>
      <font>
        <color rgb="FF0000FF"/>
      </font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0CA45C"/>
      <color rgb="FF0000FF"/>
      <color rgb="FF08A88A"/>
      <color rgb="FF85A2FF"/>
      <color rgb="FF009A28"/>
      <color rgb="FF0069C8"/>
      <color rgb="FF006600"/>
      <color rgb="FF00B058"/>
      <color rgb="FF99FFCC"/>
      <color rgb="FF3BF1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accent6"/>
                </a:solidFill>
              </a:rPr>
              <a:t>AFE </a:t>
            </a:r>
            <a:r>
              <a:rPr lang="zh-CN" sz="1800" b="1">
                <a:solidFill>
                  <a:schemeClr val="accent6"/>
                </a:solidFill>
              </a:rPr>
              <a:t>耗电占比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7398406189227017"/>
          <c:y val="0.18714122622706303"/>
          <c:w val="0.58066507492809349"/>
          <c:h val="0.69229986951852851"/>
        </c:manualLayout>
      </c:layout>
      <c:pieChart>
        <c:varyColors val="1"/>
        <c:ser>
          <c:idx val="0"/>
          <c:order val="0"/>
          <c:spPr>
            <a:ln w="0"/>
          </c:spPr>
          <c:dPt>
            <c:idx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C9A-4AE2-B10E-792084991260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C9A-4AE2-B10E-792084991260}"/>
              </c:ext>
            </c:extLst>
          </c:dPt>
          <c:dPt>
            <c:idx val="2"/>
            <c:bubble3D val="0"/>
            <c:spPr>
              <a:solidFill>
                <a:schemeClr val="bg2"/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C9A-4AE2-B10E-792084991260}"/>
              </c:ext>
            </c:extLst>
          </c:dPt>
          <c:dLbls>
            <c:dLbl>
              <c:idx val="0"/>
              <c:layout>
                <c:manualLayout>
                  <c:x val="3.238540299247801E-2"/>
                  <c:y val="9.3400083569994703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0AF9422-2DF6-4962-94A1-AEB6AE704E76}" type="CELLRANGE">
                      <a:rPr lang="zh-CN" altLang="en-US"/>
                      <a:pPr>
                        <a:defRPr sz="1600"/>
                      </a:pPr>
                      <a:t>[CELLRANGE]</a:t>
                    </a:fld>
                    <a:endParaRPr lang="zh-CN" altLang="en-US" baseline="0"/>
                  </a:p>
                  <a:p>
                    <a:pPr>
                      <a:defRPr sz="1600"/>
                    </a:pPr>
                    <a:fld id="{02B3BC6C-463A-44A4-9A01-1416E06464EE}" type="PERCENTAGE">
                      <a:rPr lang="en-US" altLang="zh-CN"/>
                      <a:pPr>
                        <a:defRPr sz="1600"/>
                      </a:pPr>
                      <a:t>[百分比]</a:t>
                    </a:fld>
                    <a:endParaRPr lang="zh-CN" altLang="en-US"/>
                  </a:p>
                </c:rich>
              </c:tx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629890462158204"/>
                      <c:h val="0.2330250635140516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C9A-4AE2-B10E-792084991260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579C4218-C8CE-4C4A-B892-A7832318CF6E}" type="CELLRANGE">
                      <a:rPr lang="zh-CN" altLang="en-US"/>
                      <a:pPr/>
                      <a:t>[CELLRANGE]</a:t>
                    </a:fld>
                    <a:endParaRPr lang="zh-CN" altLang="en-US" baseline="0"/>
                  </a:p>
                  <a:p>
                    <a:fld id="{1C4DD0C1-5877-49F6-A170-C9BA820CC65F}" type="PERCENTAGE">
                      <a:rPr lang="en-US" altLang="zh-CN"/>
                      <a:pPr/>
                      <a:t>[百分比]</a:t>
                    </a:fld>
                    <a:endParaRPr lang="zh-CN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C9A-4AE2-B10E-792084991260}"/>
                </c:ext>
              </c:extLst>
            </c:dLbl>
            <c:dLbl>
              <c:idx val="2"/>
              <c:layout>
                <c:manualLayout>
                  <c:x val="-3.9874479590945498E-2"/>
                  <c:y val="0.3292703666868335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C3EEAA5-02FF-4F60-8938-D526312C2B5B}" type="CELLRANGE">
                      <a:rPr lang="zh-CN" altLang="en-US"/>
                      <a:pPr>
                        <a:defRPr sz="1600"/>
                      </a:pPr>
                      <a:t>[CELLRANGE]</a:t>
                    </a:fld>
                    <a:endParaRPr lang="zh-CN" altLang="en-US" baseline="0"/>
                  </a:p>
                  <a:p>
                    <a:pPr>
                      <a:defRPr sz="1600"/>
                    </a:pPr>
                    <a:fld id="{384DCE88-D864-4FFD-BBE0-C2D9D1E69D17}" type="PERCENTAGE">
                      <a:rPr lang="en-US" altLang="zh-CN"/>
                      <a:pPr>
                        <a:defRPr sz="1600"/>
                      </a:pPr>
                      <a:t>[百分比]</a:t>
                    </a:fld>
                    <a:endParaRPr lang="zh-CN" altLang="en-US"/>
                  </a:p>
                </c:rich>
              </c:tx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4437050555816567"/>
                      <c:h val="0.23167499484336765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C9A-4AE2-B10E-79208499126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val>
            <c:numRef>
              <c:f>'BH66F2452+HT32F69595功耗评估(1.5V)'!$F$15:$F$17</c:f>
              <c:numCache>
                <c:formatCode>0.00</c:formatCode>
                <c:ptCount val="3"/>
                <c:pt idx="0">
                  <c:v>32.656707000000004</c:v>
                </c:pt>
                <c:pt idx="1">
                  <c:v>142.67699999999999</c:v>
                </c:pt>
                <c:pt idx="2">
                  <c:v>462.90653125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'BH66F2452+HT32F69595功耗评估(1.5V)'!$C$15:$C$17</c15:f>
                <c15:dlblRangeCache>
                  <c:ptCount val="3"/>
                  <c:pt idx="0">
                    <c:v>T1工作</c:v>
                  </c:pt>
                  <c:pt idx="1">
                    <c:v>T2工作测量</c:v>
                  </c:pt>
                  <c:pt idx="2">
                    <c:v>T3激励休眠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BC9A-4AE2-B10E-79208499126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17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800" b="1">
                <a:solidFill>
                  <a:schemeClr val="accent1"/>
                </a:solidFill>
              </a:rPr>
              <a:t>BLE</a:t>
            </a:r>
            <a:r>
              <a:rPr lang="en-US" altLang="zh-CN" sz="1800" b="1" baseline="0">
                <a:solidFill>
                  <a:schemeClr val="accent1"/>
                </a:solidFill>
              </a:rPr>
              <a:t> </a:t>
            </a:r>
            <a:r>
              <a:rPr lang="zh-CN" altLang="en-US" sz="1800" b="1" baseline="0">
                <a:solidFill>
                  <a:schemeClr val="accent1"/>
                </a:solidFill>
              </a:rPr>
              <a:t>耗电占比</a:t>
            </a:r>
            <a:endParaRPr lang="en-US" altLang="zh-CN" sz="1800" b="1" baseline="0">
              <a:solidFill>
                <a:schemeClr val="accent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5.2027092847028292E-2"/>
          <c:y val="0.2168227445694485"/>
          <c:w val="0.4657373013523266"/>
          <c:h val="0.69910260233257893"/>
        </c:manualLayout>
      </c:layout>
      <c:pieChart>
        <c:varyColors val="1"/>
        <c:ser>
          <c:idx val="0"/>
          <c:order val="0"/>
          <c:spPr>
            <a:ln w="0"/>
          </c:spPr>
          <c:dPt>
            <c:idx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6CD-4EB1-B631-07249F46C8AB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6CD-4EB1-B631-07249F46C8AB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6CD-4EB1-B631-07249F46C8AB}"/>
              </c:ext>
            </c:extLst>
          </c:dPt>
          <c:dPt>
            <c:idx val="3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6CD-4EB1-B631-07249F46C8AB}"/>
              </c:ext>
            </c:extLst>
          </c:dPt>
          <c:dPt>
            <c:idx val="4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6CD-4EB1-B631-07249F46C8AB}"/>
              </c:ext>
            </c:extLst>
          </c:dPt>
          <c:dLbls>
            <c:dLbl>
              <c:idx val="0"/>
              <c:layout>
                <c:manualLayout>
                  <c:x val="3.1802401272963979E-2"/>
                  <c:y val="2.2070502385312721E-2"/>
                </c:manualLayout>
              </c:layout>
              <c:tx>
                <c:rich>
                  <a:bodyPr/>
                  <a:lstStyle/>
                  <a:p>
                    <a:fld id="{03FA2A07-F26F-4693-B2CE-00A455D08C29}" type="CELLRANGE">
                      <a:rPr lang="zh-CN" altLang="en-US"/>
                      <a:pPr/>
                      <a:t>[CELLRANGE]</a:t>
                    </a:fld>
                    <a:endParaRPr lang="zh-CN" altLang="en-US" baseline="0"/>
                  </a:p>
                  <a:p>
                    <a:fld id="{69C76E98-4F95-4141-8928-1DCDE052D5DC}" type="PERCENTAGE">
                      <a:rPr lang="en-US" altLang="zh-CN"/>
                      <a:pPr/>
                      <a:t>[百分比]</a:t>
                    </a:fld>
                    <a:endParaRPr lang="zh-CN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6CD-4EB1-B631-07249F46C8AB}"/>
                </c:ext>
              </c:extLst>
            </c:dLbl>
            <c:dLbl>
              <c:idx val="1"/>
              <c:layout>
                <c:manualLayout>
                  <c:x val="-4.3572125352828374E-2"/>
                  <c:y val="-0.11328964028126343"/>
                </c:manualLayout>
              </c:layout>
              <c:tx>
                <c:rich>
                  <a:bodyPr/>
                  <a:lstStyle/>
                  <a:p>
                    <a:fld id="{9BF8AFBF-A020-45B2-A5F0-8B8BA42502F5}" type="CELLRANGE">
                      <a:rPr lang="zh-CN" altLang="en-US"/>
                      <a:pPr/>
                      <a:t>[CELLRANGE]</a:t>
                    </a:fld>
                    <a:endParaRPr lang="zh-CN" altLang="en-US" baseline="0"/>
                  </a:p>
                  <a:p>
                    <a:fld id="{4EF8CB9F-D322-44AF-97D2-02970C5A7203}" type="PERCENTAGE">
                      <a:rPr lang="en-US" altLang="zh-CN"/>
                      <a:pPr/>
                      <a:t>[百分比]</a:t>
                    </a:fld>
                    <a:endParaRPr lang="zh-CN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66CD-4EB1-B631-07249F46C8AB}"/>
                </c:ext>
              </c:extLst>
            </c:dLbl>
            <c:dLbl>
              <c:idx val="2"/>
              <c:layout>
                <c:manualLayout>
                  <c:x val="7.5075109325796432E-2"/>
                  <c:y val="-1.7663750028261999E-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E314A201-614F-4968-B6E7-E693A67C30FB}" type="CELLRANGE">
                      <a:rPr lang="zh-CN" altLang="en-US"/>
                      <a:pPr>
                        <a:defRPr sz="1600"/>
                      </a:pPr>
                      <a:t>[CELLRANGE]</a:t>
                    </a:fld>
                    <a:endParaRPr lang="zh-CN" altLang="en-US" baseline="0"/>
                  </a:p>
                  <a:p>
                    <a:pPr>
                      <a:defRPr sz="1600"/>
                    </a:pPr>
                    <a:fld id="{7AE389B1-9E5E-4900-87BB-D05DBA627264}" type="PERCENTAGE">
                      <a:rPr lang="en-US" altLang="zh-CN"/>
                      <a:pPr>
                        <a:defRPr sz="1600"/>
                      </a:pPr>
                      <a:t>[百分比]</a:t>
                    </a:fld>
                    <a:endParaRPr lang="zh-CN" altLang="en-US"/>
                  </a:p>
                </c:rich>
              </c:tx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7900492871355614"/>
                      <c:h val="0.21758802695962454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6CD-4EB1-B631-07249F46C8AB}"/>
                </c:ext>
              </c:extLst>
            </c:dLbl>
            <c:dLbl>
              <c:idx val="3"/>
              <c:layout>
                <c:manualLayout>
                  <c:x val="0.1349042309732314"/>
                  <c:y val="0.2471773327454837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88718DD-BB40-423F-98FE-05C0ADB47B90}" type="CELLRANGE">
                      <a:rPr lang="zh-CN" altLang="en-US"/>
                      <a:pPr>
                        <a:defRPr sz="1600"/>
                      </a:pPr>
                      <a:t>[CELLRANGE]</a:t>
                    </a:fld>
                    <a:endParaRPr lang="zh-CN" altLang="en-US" baseline="0"/>
                  </a:p>
                  <a:p>
                    <a:pPr>
                      <a:defRPr sz="1600"/>
                    </a:pPr>
                    <a:fld id="{8257CF56-202B-428A-A88C-9BCC6B11E4F1}" type="PERCENTAGE">
                      <a:rPr lang="en-US" altLang="zh-CN"/>
                      <a:pPr>
                        <a:defRPr sz="1600"/>
                      </a:pPr>
                      <a:t>[百分比]</a:t>
                    </a:fld>
                    <a:endParaRPr lang="zh-CN" altLang="en-US"/>
                  </a:p>
                </c:rich>
              </c:tx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037293195584265"/>
                      <c:h val="0.2138328535372053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6CD-4EB1-B631-07249F46C8AB}"/>
                </c:ext>
              </c:extLst>
            </c:dLbl>
            <c:dLbl>
              <c:idx val="4"/>
              <c:layout>
                <c:manualLayout>
                  <c:x val="3.0086755907672933E-2"/>
                  <c:y val="-7.786746252458794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B13ABA8-3086-4D41-9413-691FE40AD26E}" type="CELLRANGE">
                      <a:rPr lang="en-US" altLang="zh-CN"/>
                      <a:pPr>
                        <a:defRPr sz="1600"/>
                      </a:pPr>
                      <a:t>[CELLRANGE]</a:t>
                    </a:fld>
                    <a:endParaRPr lang="en-US" altLang="zh-CN" baseline="0"/>
                  </a:p>
                  <a:p>
                    <a:pPr>
                      <a:defRPr sz="1600"/>
                    </a:pPr>
                    <a:fld id="{9DA21982-0661-4750-8C65-E11C6532D952}" type="PERCENTAGE">
                      <a:rPr lang="en-US" altLang="zh-CN"/>
                      <a:pPr>
                        <a:defRPr sz="1600"/>
                      </a:pPr>
                      <a:t>[百分比]</a:t>
                    </a:fld>
                    <a:endParaRPr lang="zh-CN" altLang="en-US"/>
                  </a:p>
                </c:rich>
              </c:tx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43577714042515292"/>
                      <c:h val="0.23546947160865714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6CD-4EB1-B631-07249F46C8A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val>
            <c:numRef>
              <c:f>'BH66F2452+HT32F69595功耗评估(1.5V)'!$F$20:$F$24</c:f>
              <c:numCache>
                <c:formatCode>0.00</c:formatCode>
                <c:ptCount val="5"/>
                <c:pt idx="0">
                  <c:v>172.1225</c:v>
                </c:pt>
                <c:pt idx="1">
                  <c:v>665.51279992000002</c:v>
                </c:pt>
                <c:pt idx="2">
                  <c:v>0</c:v>
                </c:pt>
                <c:pt idx="3">
                  <c:v>1239.4484</c:v>
                </c:pt>
                <c:pt idx="4">
                  <c:v>22.814978000000004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'BH66F2452+HT32F69595功耗评估(1.5V)'!$C$20:$C$24</c15:f>
                <c15:dlblRangeCache>
                  <c:ptCount val="5"/>
                  <c:pt idx="0">
                    <c:v>T1工作</c:v>
                  </c:pt>
                  <c:pt idx="1">
                    <c:v>T2休眠</c:v>
                  </c:pt>
                  <c:pt idx="2">
                    <c:v>T3广播</c:v>
                  </c:pt>
                  <c:pt idx="3">
                    <c:v>T4连接</c:v>
                  </c:pt>
                  <c:pt idx="4">
                    <c:v>T5数据发送（17Bytes)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66CD-4EB1-B631-07249F46C8A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8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62E-42D2-A30C-D5377C825571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62E-42D2-A30C-D5377C825571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altLang="zh-CN"/>
                      <a:t>AFE</a:t>
                    </a:r>
                    <a:r>
                      <a:rPr lang="zh-CN" altLang="en-US"/>
                      <a:t>电流</a:t>
                    </a:r>
                  </a:p>
                  <a:p>
                    <a:fld id="{36B9805A-D273-487C-ADF9-F29257707B29}" type="PERCENTAGE">
                      <a:rPr lang="en-US" altLang="zh-CN"/>
                      <a:pPr/>
                      <a:t>[百分比]</a:t>
                    </a:fld>
                    <a:endParaRPr lang="zh-CN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962E-42D2-A30C-D5377C825571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altLang="zh-CN"/>
                      <a:t>BLE</a:t>
                    </a:r>
                    <a:r>
                      <a:rPr lang="zh-CN" altLang="en-US"/>
                      <a:t>电流</a:t>
                    </a:r>
                    <a:fld id="{457C8E69-DB06-4193-BBFF-4603D2999CDE}" type="PERCENTAGE">
                      <a:rPr lang="en-US" altLang="zh-CN"/>
                      <a:pPr/>
                      <a:t>[百分比]</a:t>
                    </a:fld>
                    <a:endParaRPr lang="zh-CN" alt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962E-42D2-A30C-D5377C825571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'BH66F2452+HT32F69595功耗评估(1.5V)'!$E$9:$E$10</c:f>
              <c:numCache>
                <c:formatCode>0.0</c:formatCode>
                <c:ptCount val="2"/>
                <c:pt idx="0">
                  <c:v>10.637337304166667</c:v>
                </c:pt>
                <c:pt idx="1">
                  <c:v>34.986267148666663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2E-42D2-A30C-D5377C825571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8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343888</xdr:colOff>
      <xdr:row>12</xdr:row>
      <xdr:rowOff>190498</xdr:rowOff>
    </xdr:from>
    <xdr:to>
      <xdr:col>10</xdr:col>
      <xdr:colOff>934533</xdr:colOff>
      <xdr:row>23</xdr:row>
      <xdr:rowOff>203228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84365</xdr:colOff>
      <xdr:row>32</xdr:row>
      <xdr:rowOff>85724</xdr:rowOff>
    </xdr:from>
    <xdr:to>
      <xdr:col>3</xdr:col>
      <xdr:colOff>84365</xdr:colOff>
      <xdr:row>36</xdr:row>
      <xdr:rowOff>140152</xdr:rowOff>
    </xdr:to>
    <xdr:cxnSp macro="">
      <xdr:nvCxnSpPr>
        <xdr:cNvPr id="3" name="直線單箭頭接點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4142015" y="8524874"/>
          <a:ext cx="0" cy="854528"/>
        </a:xfrm>
        <a:prstGeom prst="straightConnector1">
          <a:avLst/>
        </a:prstGeom>
        <a:ln w="28575">
          <a:solidFill>
            <a:srgbClr val="0000FF"/>
          </a:solidFill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58511</xdr:colOff>
      <xdr:row>32</xdr:row>
      <xdr:rowOff>62593</xdr:rowOff>
    </xdr:from>
    <xdr:to>
      <xdr:col>2</xdr:col>
      <xdr:colOff>58511</xdr:colOff>
      <xdr:row>36</xdr:row>
      <xdr:rowOff>117021</xdr:rowOff>
    </xdr:to>
    <xdr:cxnSp macro="">
      <xdr:nvCxnSpPr>
        <xdr:cNvPr id="4" name="直線單箭頭接點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2315936" y="8501743"/>
          <a:ext cx="0" cy="854528"/>
        </a:xfrm>
        <a:prstGeom prst="straightConnector1">
          <a:avLst/>
        </a:prstGeom>
        <a:ln w="28575">
          <a:solidFill>
            <a:srgbClr val="0000FF"/>
          </a:solidFill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62213</xdr:colOff>
      <xdr:row>32</xdr:row>
      <xdr:rowOff>68035</xdr:rowOff>
    </xdr:from>
    <xdr:to>
      <xdr:col>7</xdr:col>
      <xdr:colOff>70757</xdr:colOff>
      <xdr:row>36</xdr:row>
      <xdr:rowOff>136072</xdr:rowOff>
    </xdr:to>
    <xdr:cxnSp macro="">
      <xdr:nvCxnSpPr>
        <xdr:cNvPr id="5" name="直線單箭頭接點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flipH="1" flipV="1">
          <a:off x="10596863" y="8507185"/>
          <a:ext cx="8544" cy="868137"/>
        </a:xfrm>
        <a:prstGeom prst="straightConnector1">
          <a:avLst/>
        </a:prstGeom>
        <a:ln w="28575">
          <a:solidFill>
            <a:srgbClr val="0CA45C"/>
          </a:solidFill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74460</xdr:colOff>
      <xdr:row>32</xdr:row>
      <xdr:rowOff>70756</xdr:rowOff>
    </xdr:from>
    <xdr:to>
      <xdr:col>9</xdr:col>
      <xdr:colOff>83004</xdr:colOff>
      <xdr:row>36</xdr:row>
      <xdr:rowOff>138793</xdr:rowOff>
    </xdr:to>
    <xdr:cxnSp macro="">
      <xdr:nvCxnSpPr>
        <xdr:cNvPr id="6" name="直線單箭頭接點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H="1" flipV="1">
          <a:off x="13314210" y="8509906"/>
          <a:ext cx="8544" cy="868137"/>
        </a:xfrm>
        <a:prstGeom prst="straightConnector1">
          <a:avLst/>
        </a:prstGeom>
        <a:ln w="28575">
          <a:solidFill>
            <a:srgbClr val="0CA45C"/>
          </a:solidFill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64936</xdr:colOff>
      <xdr:row>32</xdr:row>
      <xdr:rowOff>66674</xdr:rowOff>
    </xdr:from>
    <xdr:to>
      <xdr:col>11</xdr:col>
      <xdr:colOff>73480</xdr:colOff>
      <xdr:row>36</xdr:row>
      <xdr:rowOff>134711</xdr:rowOff>
    </xdr:to>
    <xdr:cxnSp macro="">
      <xdr:nvCxnSpPr>
        <xdr:cNvPr id="7" name="直線單箭頭接點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flipH="1" flipV="1">
          <a:off x="16667011" y="8505824"/>
          <a:ext cx="8544" cy="868137"/>
        </a:xfrm>
        <a:prstGeom prst="straightConnector1">
          <a:avLst/>
        </a:prstGeom>
        <a:ln w="28575">
          <a:solidFill>
            <a:srgbClr val="0CA45C"/>
          </a:solidFill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1526722</xdr:colOff>
      <xdr:row>32</xdr:row>
      <xdr:rowOff>99331</xdr:rowOff>
    </xdr:from>
    <xdr:to>
      <xdr:col>10</xdr:col>
      <xdr:colOff>1526722</xdr:colOff>
      <xdr:row>36</xdr:row>
      <xdr:rowOff>153759</xdr:rowOff>
    </xdr:to>
    <xdr:cxnSp macro="">
      <xdr:nvCxnSpPr>
        <xdr:cNvPr id="8" name="直線單箭頭接點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6547647" y="8538481"/>
          <a:ext cx="0" cy="854528"/>
        </a:xfrm>
        <a:prstGeom prst="straightConnector1">
          <a:avLst/>
        </a:prstGeom>
        <a:ln w="28575">
          <a:solidFill>
            <a:srgbClr val="0000FF"/>
          </a:solidFill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1015585</xdr:colOff>
      <xdr:row>13</xdr:row>
      <xdr:rowOff>0</xdr:rowOff>
    </xdr:from>
    <xdr:to>
      <xdr:col>14</xdr:col>
      <xdr:colOff>329043</xdr:colOff>
      <xdr:row>23</xdr:row>
      <xdr:rowOff>198293</xdr:rowOff>
    </xdr:to>
    <xdr:graphicFrame macro="">
      <xdr:nvGraphicFramePr>
        <xdr:cNvPr id="9" name="圖表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1329278</xdr:colOff>
      <xdr:row>1</xdr:row>
      <xdr:rowOff>69272</xdr:rowOff>
    </xdr:from>
    <xdr:to>
      <xdr:col>11</xdr:col>
      <xdr:colOff>848589</xdr:colOff>
      <xdr:row>12</xdr:row>
      <xdr:rowOff>117153</xdr:rowOff>
    </xdr:to>
    <xdr:graphicFrame macro="">
      <xdr:nvGraphicFramePr>
        <xdr:cNvPr id="10" name="圖表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112059</xdr:colOff>
      <xdr:row>111</xdr:row>
      <xdr:rowOff>0</xdr:rowOff>
    </xdr:from>
    <xdr:to>
      <xdr:col>23</xdr:col>
      <xdr:colOff>665143</xdr:colOff>
      <xdr:row>156</xdr:row>
      <xdr:rowOff>122241</xdr:rowOff>
    </xdr:to>
    <xdr:pic>
      <xdr:nvPicPr>
        <xdr:cNvPr id="6" name="圖片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9853" y="19901647"/>
          <a:ext cx="12857143" cy="8190476"/>
        </a:xfrm>
        <a:prstGeom prst="rect">
          <a:avLst/>
        </a:prstGeom>
      </xdr:spPr>
    </xdr:pic>
    <xdr:clientData/>
  </xdr:twoCellAnchor>
  <xdr:twoCellAnchor editAs="oneCell">
    <xdr:from>
      <xdr:col>5</xdr:col>
      <xdr:colOff>56029</xdr:colOff>
      <xdr:row>61</xdr:row>
      <xdr:rowOff>179293</xdr:rowOff>
    </xdr:from>
    <xdr:to>
      <xdr:col>23</xdr:col>
      <xdr:colOff>609113</xdr:colOff>
      <xdr:row>107</xdr:row>
      <xdr:rowOff>122239</xdr:rowOff>
    </xdr:to>
    <xdr:pic>
      <xdr:nvPicPr>
        <xdr:cNvPr id="8" name="圖片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73823" y="11116234"/>
          <a:ext cx="12857143" cy="8190476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159</xdr:row>
      <xdr:rowOff>0</xdr:rowOff>
    </xdr:from>
    <xdr:to>
      <xdr:col>23</xdr:col>
      <xdr:colOff>553084</xdr:colOff>
      <xdr:row>204</xdr:row>
      <xdr:rowOff>122241</xdr:rowOff>
    </xdr:to>
    <xdr:pic>
      <xdr:nvPicPr>
        <xdr:cNvPr id="9" name="圖片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17794" y="28507765"/>
          <a:ext cx="12857143" cy="8190476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206</xdr:row>
      <xdr:rowOff>0</xdr:rowOff>
    </xdr:from>
    <xdr:to>
      <xdr:col>23</xdr:col>
      <xdr:colOff>553084</xdr:colOff>
      <xdr:row>251</xdr:row>
      <xdr:rowOff>122240</xdr:rowOff>
    </xdr:to>
    <xdr:pic>
      <xdr:nvPicPr>
        <xdr:cNvPr id="10" name="圖片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417794" y="36934588"/>
          <a:ext cx="12857143" cy="8190476"/>
        </a:xfrm>
        <a:prstGeom prst="rect">
          <a:avLst/>
        </a:prstGeom>
      </xdr:spPr>
    </xdr:pic>
    <xdr:clientData/>
  </xdr:twoCellAnchor>
  <xdr:twoCellAnchor editAs="oneCell">
    <xdr:from>
      <xdr:col>5</xdr:col>
      <xdr:colOff>100853</xdr:colOff>
      <xdr:row>14</xdr:row>
      <xdr:rowOff>89646</xdr:rowOff>
    </xdr:from>
    <xdr:to>
      <xdr:col>23</xdr:col>
      <xdr:colOff>653937</xdr:colOff>
      <xdr:row>60</xdr:row>
      <xdr:rowOff>32593</xdr:rowOff>
    </xdr:to>
    <xdr:pic>
      <xdr:nvPicPr>
        <xdr:cNvPr id="11" name="圖片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518647" y="2599764"/>
          <a:ext cx="12857143" cy="8190476"/>
        </a:xfrm>
        <a:prstGeom prst="rect">
          <a:avLst/>
        </a:prstGeom>
      </xdr:spPr>
    </xdr:pic>
    <xdr:clientData/>
  </xdr:twoCellAnchor>
  <xdr:twoCellAnchor editAs="oneCell">
    <xdr:from>
      <xdr:col>24</xdr:col>
      <xdr:colOff>554180</xdr:colOff>
      <xdr:row>14</xdr:row>
      <xdr:rowOff>155864</xdr:rowOff>
    </xdr:from>
    <xdr:to>
      <xdr:col>45</xdr:col>
      <xdr:colOff>645003</xdr:colOff>
      <xdr:row>60</xdr:row>
      <xdr:rowOff>75214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179635" y="2580409"/>
          <a:ext cx="14638095" cy="7885714"/>
        </a:xfrm>
        <a:prstGeom prst="rect">
          <a:avLst/>
        </a:prstGeom>
      </xdr:spPr>
    </xdr:pic>
    <xdr:clientData/>
  </xdr:twoCellAnchor>
  <xdr:twoCellAnchor editAs="oneCell">
    <xdr:from>
      <xdr:col>25</xdr:col>
      <xdr:colOff>242455</xdr:colOff>
      <xdr:row>204</xdr:row>
      <xdr:rowOff>103908</xdr:rowOff>
    </xdr:from>
    <xdr:to>
      <xdr:col>46</xdr:col>
      <xdr:colOff>533277</xdr:colOff>
      <xdr:row>252</xdr:row>
      <xdr:rowOff>134038</xdr:rowOff>
    </xdr:to>
    <xdr:pic>
      <xdr:nvPicPr>
        <xdr:cNvPr id="3" name="圖片 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7560637" y="35432999"/>
          <a:ext cx="14838095" cy="8342857"/>
        </a:xfrm>
        <a:prstGeom prst="rect">
          <a:avLst/>
        </a:prstGeom>
      </xdr:spPr>
    </xdr:pic>
    <xdr:clientData/>
  </xdr:twoCellAnchor>
  <xdr:twoCellAnchor editAs="oneCell">
    <xdr:from>
      <xdr:col>25</xdr:col>
      <xdr:colOff>294409</xdr:colOff>
      <xdr:row>160</xdr:row>
      <xdr:rowOff>34636</xdr:rowOff>
    </xdr:from>
    <xdr:to>
      <xdr:col>46</xdr:col>
      <xdr:colOff>604279</xdr:colOff>
      <xdr:row>208</xdr:row>
      <xdr:rowOff>160004</xdr:rowOff>
    </xdr:to>
    <xdr:pic>
      <xdr:nvPicPr>
        <xdr:cNvPr id="4" name="圖片 3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7612591" y="27743727"/>
          <a:ext cx="14857143" cy="8438095"/>
        </a:xfrm>
        <a:prstGeom prst="rect">
          <a:avLst/>
        </a:prstGeom>
      </xdr:spPr>
    </xdr:pic>
    <xdr:clientData/>
  </xdr:twoCellAnchor>
  <xdr:twoCellAnchor editAs="oneCell">
    <xdr:from>
      <xdr:col>25</xdr:col>
      <xdr:colOff>329045</xdr:colOff>
      <xdr:row>110</xdr:row>
      <xdr:rowOff>155864</xdr:rowOff>
    </xdr:from>
    <xdr:to>
      <xdr:col>46</xdr:col>
      <xdr:colOff>505581</xdr:colOff>
      <xdr:row>157</xdr:row>
      <xdr:rowOff>16319</xdr:rowOff>
    </xdr:to>
    <xdr:pic>
      <xdr:nvPicPr>
        <xdr:cNvPr id="5" name="圖片 4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7647227" y="19205864"/>
          <a:ext cx="14723809" cy="8000000"/>
        </a:xfrm>
        <a:prstGeom prst="rect">
          <a:avLst/>
        </a:prstGeom>
      </xdr:spPr>
    </xdr:pic>
    <xdr:clientData/>
  </xdr:twoCellAnchor>
  <xdr:twoCellAnchor editAs="oneCell">
    <xdr:from>
      <xdr:col>24</xdr:col>
      <xdr:colOff>588818</xdr:colOff>
      <xdr:row>63</xdr:row>
      <xdr:rowOff>155864</xdr:rowOff>
    </xdr:from>
    <xdr:to>
      <xdr:col>46</xdr:col>
      <xdr:colOff>101199</xdr:colOff>
      <xdr:row>108</xdr:row>
      <xdr:rowOff>124588</xdr:rowOff>
    </xdr:to>
    <xdr:pic>
      <xdr:nvPicPr>
        <xdr:cNvPr id="7" name="圖片 6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7214273" y="11066319"/>
          <a:ext cx="14752381" cy="77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CU@400kHz&#31354;&#38386;&#27169;&#24335;" TargetMode="External"/><Relationship Id="rId2" Type="http://schemas.openxmlformats.org/officeDocument/2006/relationships/hyperlink" Target="mailto:MCU@4MHz&#31354;&#38386;&#27169;&#24335;" TargetMode="External"/><Relationship Id="rId1" Type="http://schemas.openxmlformats.org/officeDocument/2006/relationships/hyperlink" Target="mailto:MCU@400kHz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44"/>
  <sheetViews>
    <sheetView showGridLines="0" zoomScale="70" zoomScaleNormal="70" workbookViewId="0">
      <selection activeCell="E3" sqref="E3"/>
    </sheetView>
  </sheetViews>
  <sheetFormatPr defaultColWidth="9" defaultRowHeight="14.25" x14ac:dyDescent="0.2"/>
  <cols>
    <col min="1" max="1" width="9" style="1"/>
    <col min="2" max="2" width="20.625" style="30" bestFit="1" customWidth="1"/>
    <col min="3" max="3" width="23.625" style="1" customWidth="1"/>
    <col min="4" max="4" width="22.375" style="1" bestFit="1" customWidth="1"/>
    <col min="5" max="5" width="21" style="1" bestFit="1" customWidth="1"/>
    <col min="6" max="6" width="18.375" style="1" customWidth="1"/>
    <col min="7" max="7" width="23.125" style="1" customWidth="1"/>
    <col min="8" max="8" width="15.75" style="1" customWidth="1"/>
    <col min="9" max="9" width="19.75" style="1" customWidth="1"/>
    <col min="10" max="10" width="23.375" style="1" customWidth="1"/>
    <col min="11" max="11" width="20.75" style="1" bestFit="1" customWidth="1"/>
    <col min="12" max="12" width="25.625" style="1" bestFit="1" customWidth="1"/>
    <col min="13" max="13" width="16.375" style="1" bestFit="1" customWidth="1"/>
    <col min="14" max="14" width="16.75" style="1" bestFit="1" customWidth="1"/>
    <col min="15" max="15" width="16" style="1" customWidth="1"/>
    <col min="16" max="16" width="14.25" style="1" bestFit="1" customWidth="1"/>
    <col min="17" max="17" width="24.625" style="1" bestFit="1" customWidth="1"/>
    <col min="18" max="18" width="34.375" style="1" bestFit="1" customWidth="1"/>
    <col min="19" max="20" width="17.625" style="1" bestFit="1" customWidth="1"/>
    <col min="21" max="21" width="15.375" style="1" bestFit="1" customWidth="1"/>
    <col min="22" max="22" width="9" style="1" customWidth="1"/>
    <col min="23" max="16384" width="9" style="1"/>
  </cols>
  <sheetData>
    <row r="3" spans="2:21" ht="16.5" customHeight="1" x14ac:dyDescent="0.2">
      <c r="B3" s="84" t="s">
        <v>65</v>
      </c>
      <c r="C3" s="25" t="s">
        <v>25</v>
      </c>
      <c r="D3" s="25" t="s">
        <v>67</v>
      </c>
      <c r="E3" s="37">
        <v>100</v>
      </c>
      <c r="F3" s="36" t="s">
        <v>103</v>
      </c>
      <c r="P3" s="56" t="s">
        <v>24</v>
      </c>
      <c r="Q3" s="56">
        <f>IF('BH66F2452+HT32F69595功耗评估(1.5V)'!E3=0,0,1)</f>
        <v>1</v>
      </c>
      <c r="R3" s="56" t="s">
        <v>30</v>
      </c>
    </row>
    <row r="4" spans="2:21" ht="15.75" x14ac:dyDescent="0.2">
      <c r="B4" s="84"/>
      <c r="C4" s="25" t="s">
        <v>26</v>
      </c>
      <c r="D4" s="25" t="s">
        <v>68</v>
      </c>
      <c r="E4" s="37">
        <v>60000</v>
      </c>
      <c r="F4" s="36" t="s">
        <v>92</v>
      </c>
      <c r="P4" s="56" t="s">
        <v>22</v>
      </c>
      <c r="Q4" s="56">
        <f>IF(E4/E5*E3/100-1 &lt; 0,0,E4/E5*E3/100-1)</f>
        <v>59</v>
      </c>
      <c r="R4" s="56" t="s">
        <v>52</v>
      </c>
    </row>
    <row r="5" spans="2:21" ht="15.75" x14ac:dyDescent="0.2">
      <c r="B5" s="84"/>
      <c r="C5" s="25" t="s">
        <v>27</v>
      </c>
      <c r="D5" s="25" t="s">
        <v>69</v>
      </c>
      <c r="E5" s="37">
        <v>1000</v>
      </c>
      <c r="G5" s="1" t="s">
        <v>129</v>
      </c>
      <c r="P5" s="56" t="s">
        <v>23</v>
      </c>
      <c r="Q5" s="56">
        <f>'BH66F2452+HT32F69595功耗评估(1.5V)'!E4/'BH66F2452+HT32F69595功耗评估(1.5V)'!E6*(100-'BH66F2452+HT32F69595功耗评估(1.5V)'!E3)/100</f>
        <v>0</v>
      </c>
      <c r="R5" s="56" t="s">
        <v>54</v>
      </c>
    </row>
    <row r="6" spans="2:21" ht="15.75" x14ac:dyDescent="0.2">
      <c r="B6" s="84"/>
      <c r="C6" s="25" t="s">
        <v>28</v>
      </c>
      <c r="D6" s="25" t="s">
        <v>53</v>
      </c>
      <c r="E6" s="37">
        <v>1000</v>
      </c>
      <c r="P6" s="56" t="s">
        <v>70</v>
      </c>
      <c r="Q6" s="56">
        <f>'BH66F2452+HT32F69595功耗评估(1.5V)'!E4/'BH66F2452+HT32F69595功耗评估(1.5V)'!E7</f>
        <v>6</v>
      </c>
      <c r="R6" s="56" t="s">
        <v>31</v>
      </c>
    </row>
    <row r="7" spans="2:21" ht="15.75" x14ac:dyDescent="0.2">
      <c r="B7" s="84"/>
      <c r="C7" s="25" t="s">
        <v>29</v>
      </c>
      <c r="D7" s="25" t="s">
        <v>55</v>
      </c>
      <c r="E7" s="37">
        <v>10000</v>
      </c>
    </row>
    <row r="8" spans="2:21" ht="15.75" x14ac:dyDescent="0.2">
      <c r="B8" s="84"/>
      <c r="C8" s="25" t="s">
        <v>50</v>
      </c>
      <c r="D8" s="25" t="s">
        <v>71</v>
      </c>
      <c r="E8" s="37">
        <v>40</v>
      </c>
    </row>
    <row r="9" spans="2:21" ht="31.5" customHeight="1" x14ac:dyDescent="0.2">
      <c r="B9" s="85" t="s">
        <v>66</v>
      </c>
      <c r="C9" s="22" t="s">
        <v>61</v>
      </c>
      <c r="D9" s="22" t="s">
        <v>63</v>
      </c>
      <c r="E9" s="17">
        <f>'BH66F2452+HT32F69595功耗评估(1.5V)'!V42</f>
        <v>10.637337304166667</v>
      </c>
      <c r="P9" s="98" t="s">
        <v>126</v>
      </c>
      <c r="Q9" s="25" t="s">
        <v>56</v>
      </c>
      <c r="R9" s="69" t="s">
        <v>127</v>
      </c>
      <c r="S9" s="26" t="s">
        <v>0</v>
      </c>
      <c r="T9" s="28" t="s">
        <v>1</v>
      </c>
      <c r="U9" s="21" t="s">
        <v>4</v>
      </c>
    </row>
    <row r="10" spans="2:21" ht="15.75" customHeight="1" x14ac:dyDescent="0.2">
      <c r="B10" s="85"/>
      <c r="C10" s="22" t="s">
        <v>62</v>
      </c>
      <c r="D10" s="22" t="s">
        <v>64</v>
      </c>
      <c r="E10" s="17">
        <f>'BH66F2452+HT32F69595功耗评估(1.5V)'!V32</f>
        <v>34.986267148666663</v>
      </c>
      <c r="P10" s="99"/>
      <c r="Q10" s="25" t="s">
        <v>93</v>
      </c>
      <c r="R10" s="75">
        <v>0.56999999999999995</v>
      </c>
      <c r="S10" s="20" t="s">
        <v>2</v>
      </c>
      <c r="T10" s="20" t="s">
        <v>2</v>
      </c>
      <c r="U10" s="20" t="s">
        <v>45</v>
      </c>
    </row>
    <row r="11" spans="2:21" ht="15.75" x14ac:dyDescent="0.2">
      <c r="B11" s="85"/>
      <c r="C11" s="22" t="s">
        <v>49</v>
      </c>
      <c r="D11" s="22" t="s">
        <v>72</v>
      </c>
      <c r="E11" s="17">
        <f>'BH66F2452+HT32F69595功耗评估(1.5V)'!V32+'BH66F2452+HT32F69595功耗评估(1.5V)'!V42</f>
        <v>45.623604452833334</v>
      </c>
      <c r="P11" s="99"/>
      <c r="Q11" s="25" t="s">
        <v>94</v>
      </c>
      <c r="R11" s="76">
        <v>0.6</v>
      </c>
      <c r="S11" s="20" t="s">
        <v>3</v>
      </c>
      <c r="T11" s="20" t="s">
        <v>3</v>
      </c>
      <c r="U11" s="20" t="s">
        <v>3</v>
      </c>
    </row>
    <row r="12" spans="2:21" ht="15.75" x14ac:dyDescent="0.2">
      <c r="B12" s="85"/>
      <c r="C12" s="22" t="s">
        <v>48</v>
      </c>
      <c r="D12" s="22" t="s">
        <v>120</v>
      </c>
      <c r="E12" s="17">
        <f>E8*1000/E11/24*0.8</f>
        <v>29.224638196040871</v>
      </c>
      <c r="P12" s="99"/>
      <c r="Q12" s="25" t="s">
        <v>95</v>
      </c>
      <c r="R12" s="75">
        <v>0.38</v>
      </c>
      <c r="S12" s="23" t="s">
        <v>2</v>
      </c>
      <c r="T12" s="23" t="s">
        <v>2</v>
      </c>
      <c r="U12" s="23" t="s">
        <v>45</v>
      </c>
    </row>
    <row r="13" spans="2:21" ht="15.75" x14ac:dyDescent="0.2">
      <c r="P13" s="99"/>
      <c r="Q13" s="25" t="s">
        <v>96</v>
      </c>
      <c r="R13" s="75">
        <v>0.91</v>
      </c>
      <c r="S13" s="20" t="s">
        <v>2</v>
      </c>
      <c r="T13" s="20" t="s">
        <v>2</v>
      </c>
      <c r="U13" s="20" t="s">
        <v>45</v>
      </c>
    </row>
    <row r="14" spans="2:21" ht="38.25" customHeight="1" x14ac:dyDescent="0.2">
      <c r="B14" s="86" t="s">
        <v>126</v>
      </c>
      <c r="C14" s="38" t="s">
        <v>51</v>
      </c>
      <c r="D14" s="70" t="s">
        <v>128</v>
      </c>
      <c r="E14" s="39" t="s">
        <v>108</v>
      </c>
      <c r="F14" s="39" t="s">
        <v>110</v>
      </c>
      <c r="G14" s="39" t="s">
        <v>111</v>
      </c>
      <c r="P14" s="99"/>
      <c r="Q14" s="25" t="s">
        <v>97</v>
      </c>
      <c r="R14" s="76">
        <v>0.9</v>
      </c>
      <c r="S14" s="20" t="s">
        <v>3</v>
      </c>
      <c r="T14" s="20" t="s">
        <v>3</v>
      </c>
      <c r="U14" s="20" t="s">
        <v>3</v>
      </c>
    </row>
    <row r="15" spans="2:21" ht="15.75" x14ac:dyDescent="0.2">
      <c r="B15" s="86"/>
      <c r="C15" s="35" t="s">
        <v>113</v>
      </c>
      <c r="D15" s="71">
        <f>'BH66F2452+HT32F69595功耗评估(1.5V)'!S23</f>
        <v>460.44</v>
      </c>
      <c r="E15" s="40">
        <f>SUM('BH66F2452+HT32F69595功耗评估(1.5V)'!C40,'BH66F2452+HT32F69595功耗评估(1.5V)'!D40,'BH66F2452+HT32F69595功耗评估(1.5V)'!E40,'BH66F2452+HT32F69595功耗评估(1.5V)'!H40,'BH66F2452+HT32F69595功耗评估(1.5V)'!J40,'BH66F2452+HT32F69595功耗评估(1.5V)'!K40)</f>
        <v>70.925000000000011</v>
      </c>
      <c r="F15" s="42">
        <f>D15*E15/1000</f>
        <v>32.656707000000004</v>
      </c>
      <c r="G15" s="43">
        <f>F15/SUM(F15:F17)</f>
        <v>5.1166794324253036E-2</v>
      </c>
      <c r="P15" s="99"/>
      <c r="Q15" s="25" t="s">
        <v>98</v>
      </c>
      <c r="R15" s="75">
        <v>0.76</v>
      </c>
      <c r="S15" s="23" t="s">
        <v>2</v>
      </c>
      <c r="T15" s="23" t="s">
        <v>2</v>
      </c>
      <c r="U15" s="23" t="s">
        <v>45</v>
      </c>
    </row>
    <row r="16" spans="2:21" ht="15.75" x14ac:dyDescent="0.2">
      <c r="B16" s="86"/>
      <c r="C16" s="41" t="s">
        <v>119</v>
      </c>
      <c r="D16" s="71">
        <f>'BH66F2452+HT32F69595功耗评估(1.5V)'!T23</f>
        <v>716.25000000000011</v>
      </c>
      <c r="E16" s="40">
        <f>SUM('BH66F2452+HT32F69595功耗评估(1.5V)'!F40,'BH66F2452+HT32F69595功耗评估(1.5V)'!G40)</f>
        <v>199.2</v>
      </c>
      <c r="F16" s="42">
        <f t="shared" ref="F16:F17" si="0">D16*E16/1000</f>
        <v>142.67699999999999</v>
      </c>
      <c r="G16" s="43">
        <f>F16/SUM(F15:F17)</f>
        <v>0.22354748486433276</v>
      </c>
      <c r="P16" s="99"/>
      <c r="Q16" s="25" t="s">
        <v>99</v>
      </c>
      <c r="R16" s="75">
        <v>3</v>
      </c>
      <c r="S16" s="23" t="s">
        <v>2</v>
      </c>
      <c r="T16" s="23" t="s">
        <v>2</v>
      </c>
      <c r="U16" s="23" t="s">
        <v>45</v>
      </c>
    </row>
    <row r="17" spans="2:24" ht="15.75" x14ac:dyDescent="0.2">
      <c r="B17" s="86"/>
      <c r="C17" s="15" t="s">
        <v>118</v>
      </c>
      <c r="D17" s="72">
        <f>'BH66F2452+HT32F69595功耗评估(1.5V)'!U23</f>
        <v>7.75</v>
      </c>
      <c r="E17" s="40">
        <f>'BH66F2452+HT32F69595功耗评估(1.5V)'!E4-E15-E16</f>
        <v>59729.875</v>
      </c>
      <c r="F17" s="42">
        <f t="shared" si="0"/>
        <v>462.90653125</v>
      </c>
      <c r="G17" s="43">
        <f>F17/SUM(F15:F17)</f>
        <v>0.72528572081141429</v>
      </c>
      <c r="P17" s="99"/>
      <c r="Q17" s="25" t="s">
        <v>100</v>
      </c>
      <c r="R17" s="75">
        <v>688.44</v>
      </c>
      <c r="S17" s="20" t="s">
        <v>3</v>
      </c>
      <c r="T17" s="23" t="s">
        <v>2</v>
      </c>
      <c r="U17" s="20" t="s">
        <v>46</v>
      </c>
    </row>
    <row r="18" spans="2:24" ht="15.75" customHeight="1" x14ac:dyDescent="0.2">
      <c r="D18" s="73"/>
      <c r="P18" s="99"/>
      <c r="Q18" s="25" t="s">
        <v>101</v>
      </c>
      <c r="R18" s="75">
        <v>454.82</v>
      </c>
      <c r="S18" s="23" t="s">
        <v>2</v>
      </c>
      <c r="T18" s="20" t="s">
        <v>3</v>
      </c>
      <c r="U18" s="20" t="s">
        <v>46</v>
      </c>
    </row>
    <row r="19" spans="2:24" ht="38.25" customHeight="1" x14ac:dyDescent="0.2">
      <c r="B19" s="86" t="s">
        <v>5</v>
      </c>
      <c r="C19" s="38" t="s">
        <v>51</v>
      </c>
      <c r="D19" s="74" t="s">
        <v>128</v>
      </c>
      <c r="E19" s="39" t="s">
        <v>108</v>
      </c>
      <c r="F19" s="39" t="s">
        <v>110</v>
      </c>
      <c r="G19" s="39" t="s">
        <v>111</v>
      </c>
      <c r="P19" s="99"/>
      <c r="Q19" s="25" t="s">
        <v>122</v>
      </c>
      <c r="R19" s="75">
        <v>66.040000000000006</v>
      </c>
      <c r="S19" s="20" t="s">
        <v>3</v>
      </c>
      <c r="T19" s="20" t="s">
        <v>3</v>
      </c>
      <c r="U19" s="20" t="s">
        <v>3</v>
      </c>
    </row>
    <row r="20" spans="2:24" ht="15.75" x14ac:dyDescent="0.2">
      <c r="B20" s="86"/>
      <c r="C20" s="35" t="s">
        <v>113</v>
      </c>
      <c r="D20" s="71">
        <v>2420</v>
      </c>
      <c r="E20" s="40">
        <f>SUM(C30,D30,H30,I30,J30,K30,L30,M30)</f>
        <v>71.125</v>
      </c>
      <c r="F20" s="42">
        <f>D20*E20/1000</f>
        <v>172.1225</v>
      </c>
      <c r="G20" s="43">
        <f>F20/SUM(F$20:F$24)</f>
        <v>8.1967050034286157E-2</v>
      </c>
      <c r="P20" s="99"/>
      <c r="Q20" s="25" t="s">
        <v>123</v>
      </c>
      <c r="R20" s="75">
        <v>259.58999999999997</v>
      </c>
      <c r="S20" s="20" t="s">
        <v>3</v>
      </c>
      <c r="T20" s="20" t="s">
        <v>3</v>
      </c>
      <c r="U20" s="20" t="s">
        <v>3</v>
      </c>
    </row>
    <row r="21" spans="2:24" ht="15.75" x14ac:dyDescent="0.2">
      <c r="B21" s="86"/>
      <c r="C21" s="15" t="s">
        <v>114</v>
      </c>
      <c r="D21" s="71">
        <v>11.17</v>
      </c>
      <c r="E21" s="40">
        <f>SUM(E30,N30)</f>
        <v>59580.376000000004</v>
      </c>
      <c r="F21" s="42">
        <f t="shared" ref="F21:F24" si="1">D21*E21/1000</f>
        <v>665.51279992000002</v>
      </c>
      <c r="G21" s="43">
        <f t="shared" ref="G21:G24" si="2">F21/SUM(F$20:F$24)</f>
        <v>0.31692614835074157</v>
      </c>
      <c r="P21" s="99"/>
      <c r="Q21" s="25" t="s">
        <v>124</v>
      </c>
      <c r="R21" s="75">
        <v>22.19</v>
      </c>
      <c r="S21" s="20" t="s">
        <v>3</v>
      </c>
      <c r="T21" s="23" t="s">
        <v>2</v>
      </c>
      <c r="U21" s="20" t="s">
        <v>3</v>
      </c>
    </row>
    <row r="22" spans="2:24" ht="15.75" x14ac:dyDescent="0.2">
      <c r="B22" s="86"/>
      <c r="C22" s="3" t="s">
        <v>115</v>
      </c>
      <c r="D22" s="71">
        <v>2712</v>
      </c>
      <c r="E22" s="40">
        <f>P30</f>
        <v>0</v>
      </c>
      <c r="F22" s="42">
        <f t="shared" si="1"/>
        <v>0</v>
      </c>
      <c r="G22" s="43">
        <f t="shared" si="2"/>
        <v>0</v>
      </c>
      <c r="P22" s="99"/>
      <c r="Q22" s="25" t="s">
        <v>102</v>
      </c>
      <c r="R22" s="75">
        <v>2.13</v>
      </c>
      <c r="S22" s="20" t="s">
        <v>3</v>
      </c>
      <c r="T22" s="20" t="s">
        <v>3</v>
      </c>
      <c r="U22" s="23" t="s">
        <v>45</v>
      </c>
    </row>
    <row r="23" spans="2:24" ht="15.75" x14ac:dyDescent="0.2">
      <c r="B23" s="86"/>
      <c r="C23" s="4" t="s">
        <v>116</v>
      </c>
      <c r="D23" s="71">
        <v>3622</v>
      </c>
      <c r="E23" s="40">
        <f>R30</f>
        <v>342.2</v>
      </c>
      <c r="F23" s="42">
        <f t="shared" si="1"/>
        <v>1239.4484</v>
      </c>
      <c r="G23" s="43">
        <f t="shared" si="2"/>
        <v>0.5902420021654109</v>
      </c>
      <c r="P23" s="99"/>
      <c r="Q23" s="77" t="s">
        <v>47</v>
      </c>
      <c r="R23" s="78"/>
      <c r="S23" s="17">
        <f>SUMPRODUCT((S10:S22="ON")*($R10:$R22))</f>
        <v>460.44</v>
      </c>
      <c r="T23" s="17">
        <f>SUMPRODUCT((T10:T22="ON")*($R10:$R22))</f>
        <v>716.25000000000011</v>
      </c>
      <c r="U23" s="17">
        <f>SUMPRODUCT((U10:U22="ON")*($R10:$R22))</f>
        <v>7.75</v>
      </c>
    </row>
    <row r="24" spans="2:24" ht="78.75" x14ac:dyDescent="0.2">
      <c r="B24" s="86"/>
      <c r="C24" s="5" t="s">
        <v>117</v>
      </c>
      <c r="D24" s="71">
        <v>3622</v>
      </c>
      <c r="E24" s="40">
        <f>T30</f>
        <v>6.2990000000000004</v>
      </c>
      <c r="F24" s="42">
        <f t="shared" si="1"/>
        <v>22.814978000000004</v>
      </c>
      <c r="G24" s="43">
        <f t="shared" si="2"/>
        <v>1.0864799449561436E-2</v>
      </c>
      <c r="P24" s="100"/>
      <c r="Q24" s="79" t="s">
        <v>73</v>
      </c>
      <c r="R24" s="80"/>
      <c r="S24" s="34" t="s">
        <v>104</v>
      </c>
      <c r="T24" s="34" t="s">
        <v>125</v>
      </c>
      <c r="U24" s="34" t="s">
        <v>105</v>
      </c>
    </row>
    <row r="25" spans="2:24" ht="73.5" customHeight="1" x14ac:dyDescent="0.2"/>
    <row r="26" spans="2:24" ht="19.5" customHeight="1" x14ac:dyDescent="0.2">
      <c r="B26" s="24" t="s">
        <v>112</v>
      </c>
      <c r="C26" s="24">
        <v>38400</v>
      </c>
      <c r="F26" s="2"/>
      <c r="G26" s="2"/>
    </row>
    <row r="27" spans="2:24" ht="15" thickBot="1" x14ac:dyDescent="0.25"/>
    <row r="28" spans="2:24" ht="37.5" customHeight="1" x14ac:dyDescent="0.2">
      <c r="B28" s="87" t="s">
        <v>6</v>
      </c>
      <c r="C28" s="14" t="s">
        <v>16</v>
      </c>
      <c r="D28" s="31" t="s">
        <v>17</v>
      </c>
      <c r="E28" s="89" t="s">
        <v>20</v>
      </c>
      <c r="F28" s="90"/>
      <c r="G28" s="91"/>
      <c r="H28" s="31" t="s">
        <v>19</v>
      </c>
      <c r="I28" s="31" t="s">
        <v>43</v>
      </c>
      <c r="J28" s="50" t="s">
        <v>44</v>
      </c>
      <c r="K28" s="50" t="s">
        <v>58</v>
      </c>
      <c r="L28" s="50" t="s">
        <v>59</v>
      </c>
      <c r="M28" s="50" t="s">
        <v>60</v>
      </c>
      <c r="N28" s="54" t="s">
        <v>18</v>
      </c>
      <c r="O28" s="55"/>
      <c r="P28" s="6" t="s">
        <v>9</v>
      </c>
      <c r="Q28" s="55"/>
      <c r="R28" s="7" t="s">
        <v>10</v>
      </c>
      <c r="S28" s="55"/>
      <c r="T28" s="27" t="s">
        <v>11</v>
      </c>
      <c r="U28" s="2"/>
      <c r="V28" s="2"/>
      <c r="W28" s="2"/>
    </row>
    <row r="29" spans="2:24" ht="48" thickBot="1" x14ac:dyDescent="0.25">
      <c r="B29" s="88"/>
      <c r="C29" s="13" t="s">
        <v>32</v>
      </c>
      <c r="D29" s="53" t="s">
        <v>74</v>
      </c>
      <c r="E29" s="92" t="s">
        <v>75</v>
      </c>
      <c r="F29" s="93"/>
      <c r="G29" s="94"/>
      <c r="H29" s="53" t="s">
        <v>57</v>
      </c>
      <c r="I29" s="53" t="s">
        <v>33</v>
      </c>
      <c r="J29" s="51" t="s">
        <v>76</v>
      </c>
      <c r="K29" s="51" t="s">
        <v>109</v>
      </c>
      <c r="L29" s="51" t="s">
        <v>34</v>
      </c>
      <c r="M29" s="51" t="s">
        <v>35</v>
      </c>
      <c r="N29" s="51" t="s">
        <v>7</v>
      </c>
      <c r="O29" s="2"/>
      <c r="P29" s="8" t="s">
        <v>77</v>
      </c>
      <c r="Q29" s="2"/>
      <c r="R29" s="8" t="s">
        <v>21</v>
      </c>
      <c r="S29" s="2"/>
      <c r="T29" s="51" t="s">
        <v>36</v>
      </c>
      <c r="U29" s="2"/>
      <c r="V29" s="2"/>
      <c r="W29" s="2"/>
    </row>
    <row r="30" spans="2:24" ht="16.5" thickBot="1" x14ac:dyDescent="0.25">
      <c r="B30" s="9" t="s">
        <v>106</v>
      </c>
      <c r="C30" s="66">
        <f>0.05*'BH66F2452+HT32F69595功耗评估(1.5V)'!Q6</f>
        <v>0.30000000000000004</v>
      </c>
      <c r="D30" s="67">
        <f>1/C26*10*1000*13*'BH66F2452+HT32F69595功耗评估(1.5V)'!Q6</f>
        <v>20.3125</v>
      </c>
      <c r="E30" s="95">
        <f>(1.3+29.2+4)*'BH66F2452+HT32F69595功耗评估(1.5V)'!Q6</f>
        <v>207</v>
      </c>
      <c r="F30" s="96"/>
      <c r="G30" s="97"/>
      <c r="H30" s="67">
        <f>2*'BH66F2452+HT32F69595功耗评估(1.5V)'!Q6</f>
        <v>12</v>
      </c>
      <c r="I30" s="67">
        <f>0.7*'BH66F2452+HT32F69595功耗评估(1.5V)'!Q6</f>
        <v>4.1999999999999993</v>
      </c>
      <c r="J30" s="68">
        <f>1/C26*10*1000*13*'BH66F2452+HT32F69595功耗评估(1.5V)'!Q6</f>
        <v>20.3125</v>
      </c>
      <c r="K30" s="68">
        <f>1*'BH66F2452+HT32F69595功耗评估(1.5V)'!Q6</f>
        <v>6</v>
      </c>
      <c r="L30" s="68">
        <f>1*'BH66F2452+HT32F69595功耗评估(1.5V)'!Q6</f>
        <v>6</v>
      </c>
      <c r="M30" s="68">
        <f>2*'BH66F2452+HT32F69595功耗评估(1.5V)'!Q3</f>
        <v>2</v>
      </c>
      <c r="N30" s="68">
        <f>E4-C30-D30-E30-H30-I30-J30-K30-L30-M30-P30-R30-T30</f>
        <v>59373.376000000004</v>
      </c>
      <c r="O30" s="2"/>
      <c r="P30" s="9">
        <f>6*'BH66F2452+HT32F69595功耗评估(1.5V)'!Q5</f>
        <v>0</v>
      </c>
      <c r="Q30" s="2"/>
      <c r="R30" s="9">
        <f>5.8*'BH66F2452+HT32F69595功耗评估(1.5V)'!Q4</f>
        <v>342.2</v>
      </c>
      <c r="S30" s="2"/>
      <c r="T30" s="51">
        <f>6.299*'BH66F2452+HT32F69595功耗评估(1.5V)'!Q3</f>
        <v>6.2990000000000004</v>
      </c>
      <c r="V30" s="18">
        <f>SUM(C30:T30)</f>
        <v>60000</v>
      </c>
      <c r="W30" s="101" t="s">
        <v>38</v>
      </c>
      <c r="X30" s="102"/>
    </row>
    <row r="31" spans="2:24" ht="17.25" customHeight="1" thickBot="1" x14ac:dyDescent="0.25">
      <c r="B31" s="9" t="s">
        <v>78</v>
      </c>
      <c r="C31" s="62">
        <f>'BH66F2452+HT32F69595功耗评估(1.5V)'!D21</f>
        <v>11.17</v>
      </c>
      <c r="D31" s="63">
        <f>'BH66F2452+HT32F69595功耗评估(1.5V)'!D20</f>
        <v>2420</v>
      </c>
      <c r="E31" s="81">
        <f>'BH66F2452+HT32F69595功耗评估(1.5V)'!D21</f>
        <v>11.17</v>
      </c>
      <c r="F31" s="82"/>
      <c r="G31" s="83"/>
      <c r="H31" s="63">
        <f>'BH66F2452+HT32F69595功耗评估(1.5V)'!D20</f>
        <v>2420</v>
      </c>
      <c r="I31" s="63">
        <f>'BH66F2452+HT32F69595功耗评估(1.5V)'!D20</f>
        <v>2420</v>
      </c>
      <c r="J31" s="65">
        <f>'BH66F2452+HT32F69595功耗评估(1.5V)'!D20</f>
        <v>2420</v>
      </c>
      <c r="K31" s="65">
        <f>'BH66F2452+HT32F69595功耗评估(1.5V)'!D20</f>
        <v>2420</v>
      </c>
      <c r="L31" s="65">
        <f>'BH66F2452+HT32F69595功耗评估(1.5V)'!D20</f>
        <v>2420</v>
      </c>
      <c r="M31" s="65">
        <f>'BH66F2452+HT32F69595功耗评估(1.5V)'!D20</f>
        <v>2420</v>
      </c>
      <c r="N31" s="65">
        <f>'BH66F2452+HT32F69595功耗评估(1.5V)'!D21</f>
        <v>11.17</v>
      </c>
      <c r="O31" s="2"/>
      <c r="P31" s="9">
        <f>'BH66F2452+HT32F69595功耗评估(1.5V)'!D22</f>
        <v>2712</v>
      </c>
      <c r="Q31" s="2"/>
      <c r="R31" s="9">
        <f>'BH66F2452+HT32F69595功耗评估(1.5V)'!D23</f>
        <v>3622</v>
      </c>
      <c r="S31" s="2"/>
      <c r="T31" s="49">
        <f>'BH66F2452+HT32F69595功耗评估(1.5V)'!D24</f>
        <v>3622</v>
      </c>
      <c r="V31" s="2"/>
      <c r="W31" s="2"/>
      <c r="X31" s="2"/>
    </row>
    <row r="32" spans="2:24" ht="16.5" thickBot="1" x14ac:dyDescent="0.25">
      <c r="B32" s="10" t="s">
        <v>37</v>
      </c>
      <c r="C32" s="57">
        <f>C30*C31</f>
        <v>3.3510000000000004</v>
      </c>
      <c r="D32" s="58">
        <f>D30*D31</f>
        <v>49156.25</v>
      </c>
      <c r="E32" s="103">
        <f>E30*E31</f>
        <v>2312.19</v>
      </c>
      <c r="F32" s="104"/>
      <c r="G32" s="105"/>
      <c r="H32" s="58">
        <f t="shared" ref="H32:N32" si="3">H31*H30</f>
        <v>29040</v>
      </c>
      <c r="I32" s="58">
        <f t="shared" si="3"/>
        <v>10163.999999999998</v>
      </c>
      <c r="J32" s="60">
        <f t="shared" si="3"/>
        <v>49156.25</v>
      </c>
      <c r="K32" s="60">
        <f t="shared" si="3"/>
        <v>14520</v>
      </c>
      <c r="L32" s="60">
        <f t="shared" si="3"/>
        <v>14520</v>
      </c>
      <c r="M32" s="60">
        <f t="shared" si="3"/>
        <v>4840</v>
      </c>
      <c r="N32" s="60">
        <f t="shared" si="3"/>
        <v>663200.60992000008</v>
      </c>
      <c r="O32" s="2"/>
      <c r="P32" s="10">
        <f>P31*P30</f>
        <v>0</v>
      </c>
      <c r="Q32" s="2"/>
      <c r="R32" s="10">
        <f>R31*R30</f>
        <v>1239448.3999999999</v>
      </c>
      <c r="S32" s="2"/>
      <c r="T32" s="48">
        <f>T31*T30</f>
        <v>22814.978000000003</v>
      </c>
      <c r="V32" s="19">
        <f>SUM(C32:T32)/E4</f>
        <v>34.986267148666663</v>
      </c>
      <c r="W32" s="101" t="s">
        <v>39</v>
      </c>
      <c r="X32" s="102"/>
    </row>
    <row r="33" spans="2:24" ht="15.75" x14ac:dyDescent="0.2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V33" s="11"/>
      <c r="W33" s="2"/>
      <c r="X33" s="2"/>
    </row>
    <row r="34" spans="2:24" ht="15.75" customHeight="1" x14ac:dyDescent="0.2">
      <c r="B34" s="106" t="s">
        <v>89</v>
      </c>
      <c r="C34" s="29" t="s">
        <v>90</v>
      </c>
      <c r="D34" s="29" t="s">
        <v>82</v>
      </c>
      <c r="E34" s="2"/>
      <c r="F34" s="2"/>
      <c r="G34" s="2"/>
      <c r="H34" s="107" t="s">
        <v>91</v>
      </c>
      <c r="I34" s="107"/>
      <c r="J34" s="52" t="s">
        <v>82</v>
      </c>
      <c r="K34" s="29" t="s">
        <v>86</v>
      </c>
      <c r="L34" s="52" t="s">
        <v>88</v>
      </c>
      <c r="M34" s="2"/>
      <c r="N34" s="2"/>
      <c r="O34" s="2"/>
      <c r="P34" s="2"/>
      <c r="Q34" s="2"/>
      <c r="R34" s="2"/>
      <c r="S34" s="2"/>
      <c r="T34" s="2"/>
      <c r="V34" s="11"/>
      <c r="W34" s="2"/>
      <c r="X34" s="2"/>
    </row>
    <row r="35" spans="2:24" ht="15.75" customHeight="1" x14ac:dyDescent="0.2">
      <c r="B35" s="106"/>
      <c r="C35" s="29" t="s">
        <v>81</v>
      </c>
      <c r="D35" s="29" t="s">
        <v>79</v>
      </c>
      <c r="E35" s="107" t="s">
        <v>80</v>
      </c>
      <c r="F35" s="107"/>
      <c r="G35" s="107"/>
      <c r="H35" s="107" t="s">
        <v>83</v>
      </c>
      <c r="I35" s="107"/>
      <c r="J35" s="52" t="s">
        <v>84</v>
      </c>
      <c r="K35" s="29" t="s">
        <v>85</v>
      </c>
      <c r="L35" s="52" t="s">
        <v>87</v>
      </c>
      <c r="M35" s="2"/>
      <c r="N35" s="2"/>
      <c r="O35" s="2"/>
      <c r="P35" s="2"/>
      <c r="Q35" s="2"/>
      <c r="R35" s="2"/>
      <c r="S35" s="2"/>
      <c r="T35" s="2"/>
      <c r="V35" s="11"/>
      <c r="W35" s="2"/>
      <c r="X35" s="2"/>
    </row>
    <row r="36" spans="2:24" ht="15.75" customHeight="1" x14ac:dyDescent="0.2">
      <c r="B36" s="106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V36" s="11"/>
      <c r="W36" s="2"/>
      <c r="X36" s="2"/>
    </row>
    <row r="37" spans="2:24" ht="16.5" thickBot="1" x14ac:dyDescent="0.2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V37" s="2"/>
      <c r="W37" s="2"/>
      <c r="X37" s="2"/>
    </row>
    <row r="38" spans="2:24" ht="31.5" customHeight="1" x14ac:dyDescent="0.2">
      <c r="B38" s="108" t="s">
        <v>8</v>
      </c>
      <c r="C38" s="14" t="s">
        <v>16</v>
      </c>
      <c r="D38" s="31" t="s">
        <v>17</v>
      </c>
      <c r="E38" s="12" t="s">
        <v>19</v>
      </c>
      <c r="F38" s="32" t="s">
        <v>20</v>
      </c>
      <c r="G38" s="16" t="s">
        <v>18</v>
      </c>
      <c r="H38" s="110" t="s">
        <v>43</v>
      </c>
      <c r="I38" s="111"/>
      <c r="J38" s="50" t="s">
        <v>44</v>
      </c>
      <c r="K38" s="50" t="s">
        <v>58</v>
      </c>
      <c r="L38" s="112" t="s">
        <v>9</v>
      </c>
      <c r="M38" s="113"/>
      <c r="N38" s="114"/>
      <c r="O38" s="44"/>
      <c r="P38" s="44"/>
      <c r="Q38" s="44"/>
      <c r="R38" s="44"/>
      <c r="S38" s="44"/>
      <c r="T38" s="44"/>
      <c r="V38" s="2"/>
      <c r="W38" s="2"/>
      <c r="X38" s="2"/>
    </row>
    <row r="39" spans="2:24" ht="16.5" customHeight="1" thickBot="1" x14ac:dyDescent="0.25">
      <c r="B39" s="109"/>
      <c r="C39" s="13" t="s">
        <v>107</v>
      </c>
      <c r="D39" s="53" t="s">
        <v>12</v>
      </c>
      <c r="E39" s="8" t="s">
        <v>13</v>
      </c>
      <c r="F39" s="53" t="s">
        <v>14</v>
      </c>
      <c r="G39" s="8" t="s">
        <v>42</v>
      </c>
      <c r="H39" s="92" t="s">
        <v>41</v>
      </c>
      <c r="I39" s="93"/>
      <c r="J39" s="51" t="s">
        <v>40</v>
      </c>
      <c r="K39" s="51" t="s">
        <v>15</v>
      </c>
      <c r="L39" s="115" t="s">
        <v>7</v>
      </c>
      <c r="M39" s="116"/>
      <c r="N39" s="117"/>
      <c r="O39" s="45"/>
      <c r="P39" s="45"/>
      <c r="Q39" s="45"/>
      <c r="R39" s="45"/>
      <c r="S39" s="45"/>
      <c r="T39" s="45"/>
      <c r="V39" s="2"/>
      <c r="W39" s="2"/>
      <c r="X39" s="2"/>
    </row>
    <row r="40" spans="2:24" ht="16.5" thickBot="1" x14ac:dyDescent="0.25">
      <c r="B40" s="9" t="s">
        <v>106</v>
      </c>
      <c r="C40" s="62">
        <f>0.05*'BH66F2452+HT32F69595功耗评估(1.5V)'!Q6</f>
        <v>0.30000000000000004</v>
      </c>
      <c r="D40" s="63">
        <f>1/C26*10*1000*13*'BH66F2452+HT32F69595功耗评估(1.5V)'!Q6</f>
        <v>20.3125</v>
      </c>
      <c r="E40" s="64">
        <f>1.3*'BH66F2452+HT32F69595功耗评估(1.5V)'!Q6</f>
        <v>7.8000000000000007</v>
      </c>
      <c r="F40" s="63">
        <f>29.2*'BH66F2452+HT32F69595功耗评估(1.5V)'!Q6</f>
        <v>175.2</v>
      </c>
      <c r="G40" s="64">
        <f>4*'BH66F2452+HT32F69595功耗评估(1.5V)'!Q6</f>
        <v>24</v>
      </c>
      <c r="H40" s="81">
        <f>2.7*'BH66F2452+HT32F69595功耗评估(1.5V)'!Q6</f>
        <v>16.200000000000003</v>
      </c>
      <c r="I40" s="82"/>
      <c r="J40" s="65">
        <f>1/C26*10*1000*13*'BH66F2452+HT32F69595功耗评估(1.5V)'!Q6</f>
        <v>20.3125</v>
      </c>
      <c r="K40" s="65">
        <f>1*'BH66F2452+HT32F69595功耗评估(1.5V)'!Q6</f>
        <v>6</v>
      </c>
      <c r="L40" s="118">
        <f>E4-SUM(C40:K40)</f>
        <v>59729.875</v>
      </c>
      <c r="M40" s="119"/>
      <c r="N40" s="120"/>
      <c r="O40" s="46"/>
      <c r="P40" s="46"/>
      <c r="Q40" s="46"/>
      <c r="R40" s="46"/>
      <c r="S40" s="46"/>
      <c r="T40" s="46"/>
      <c r="V40" s="18">
        <f>SUM(C40:T40)</f>
        <v>60000</v>
      </c>
      <c r="W40" s="101" t="s">
        <v>38</v>
      </c>
      <c r="X40" s="102"/>
    </row>
    <row r="41" spans="2:24" ht="16.5" thickBot="1" x14ac:dyDescent="0.25">
      <c r="B41" s="9" t="s">
        <v>78</v>
      </c>
      <c r="C41" s="66">
        <f>'BH66F2452+HT32F69595功耗评估(1.5V)'!S23</f>
        <v>460.44</v>
      </c>
      <c r="D41" s="67">
        <f>'BH66F2452+HT32F69595功耗评估(1.5V)'!S23</f>
        <v>460.44</v>
      </c>
      <c r="E41" s="64">
        <f>'BH66F2452+HT32F69595功耗评估(1.5V)'!S23</f>
        <v>460.44</v>
      </c>
      <c r="F41" s="63">
        <f>'BH66F2452+HT32F69595功耗评估(1.5V)'!T23</f>
        <v>716.25000000000011</v>
      </c>
      <c r="G41" s="64">
        <f>'BH66F2452+HT32F69595功耗评估(1.5V)'!T23</f>
        <v>716.25000000000011</v>
      </c>
      <c r="H41" s="81">
        <f>'BH66F2452+HT32F69595功耗评估(1.5V)'!S23</f>
        <v>460.44</v>
      </c>
      <c r="I41" s="82"/>
      <c r="J41" s="65">
        <f>'BH66F2452+HT32F69595功耗评估(1.5V)'!S23</f>
        <v>460.44</v>
      </c>
      <c r="K41" s="65">
        <f>'BH66F2452+HT32F69595功耗评估(1.5V)'!S23</f>
        <v>460.44</v>
      </c>
      <c r="L41" s="118">
        <f>'BH66F2452+HT32F69595功耗评估(1.5V)'!U23</f>
        <v>7.75</v>
      </c>
      <c r="M41" s="119"/>
      <c r="N41" s="120"/>
      <c r="O41" s="46"/>
      <c r="P41" s="46"/>
      <c r="Q41" s="46"/>
      <c r="R41" s="46"/>
      <c r="S41" s="46"/>
      <c r="T41" s="46"/>
      <c r="V41" s="2"/>
      <c r="W41" s="2"/>
      <c r="X41" s="2"/>
    </row>
    <row r="42" spans="2:24" ht="16.5" thickBot="1" x14ac:dyDescent="0.25">
      <c r="B42" s="10" t="s">
        <v>37</v>
      </c>
      <c r="C42" s="57">
        <f t="shared" ref="C42:H42" si="4">C41*C40</f>
        <v>138.13200000000003</v>
      </c>
      <c r="D42" s="58">
        <f t="shared" si="4"/>
        <v>9352.6875</v>
      </c>
      <c r="E42" s="59">
        <f t="shared" si="4"/>
        <v>3591.4320000000002</v>
      </c>
      <c r="F42" s="58">
        <f t="shared" si="4"/>
        <v>125487.00000000001</v>
      </c>
      <c r="G42" s="59">
        <f t="shared" si="4"/>
        <v>17190.000000000004</v>
      </c>
      <c r="H42" s="103">
        <f t="shared" si="4"/>
        <v>7459.1280000000015</v>
      </c>
      <c r="I42" s="104"/>
      <c r="J42" s="60">
        <f>J41*J40</f>
        <v>9352.6875</v>
      </c>
      <c r="K42" s="60">
        <f>K41*K40</f>
        <v>2762.64</v>
      </c>
      <c r="L42" s="121">
        <f>L41*L40</f>
        <v>462906.53125</v>
      </c>
      <c r="M42" s="122"/>
      <c r="N42" s="123"/>
      <c r="O42" s="47"/>
      <c r="P42" s="47"/>
      <c r="Q42" s="47"/>
      <c r="R42" s="47"/>
      <c r="S42" s="47"/>
      <c r="T42" s="47"/>
      <c r="V42" s="19">
        <f>SUM(C42:T42)/E4</f>
        <v>10.637337304166667</v>
      </c>
      <c r="W42" s="101" t="s">
        <v>121</v>
      </c>
      <c r="X42" s="102"/>
    </row>
    <row r="43" spans="2:24" x14ac:dyDescent="0.2"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</row>
    <row r="44" spans="2:24" ht="15.75" x14ac:dyDescent="0.2">
      <c r="B44" s="33"/>
      <c r="C44" s="33"/>
      <c r="D44" s="33"/>
    </row>
  </sheetData>
  <mergeCells count="32">
    <mergeCell ref="W40:X40"/>
    <mergeCell ref="H41:I41"/>
    <mergeCell ref="L41:N41"/>
    <mergeCell ref="H42:I42"/>
    <mergeCell ref="L42:N42"/>
    <mergeCell ref="W42:X42"/>
    <mergeCell ref="H40:I40"/>
    <mergeCell ref="L40:N40"/>
    <mergeCell ref="B38:B39"/>
    <mergeCell ref="H38:I38"/>
    <mergeCell ref="L38:N38"/>
    <mergeCell ref="H39:I39"/>
    <mergeCell ref="L39:N39"/>
    <mergeCell ref="W30:X30"/>
    <mergeCell ref="E32:G32"/>
    <mergeCell ref="W32:X32"/>
    <mergeCell ref="B34:B36"/>
    <mergeCell ref="H34:I34"/>
    <mergeCell ref="E35:G35"/>
    <mergeCell ref="H35:I35"/>
    <mergeCell ref="Q23:R23"/>
    <mergeCell ref="Q24:R24"/>
    <mergeCell ref="E31:G31"/>
    <mergeCell ref="B3:B8"/>
    <mergeCell ref="B9:B12"/>
    <mergeCell ref="B14:B17"/>
    <mergeCell ref="B19:B24"/>
    <mergeCell ref="B28:B29"/>
    <mergeCell ref="E28:G28"/>
    <mergeCell ref="E29:G29"/>
    <mergeCell ref="E30:G30"/>
    <mergeCell ref="P9:P24"/>
  </mergeCells>
  <phoneticPr fontId="3" type="noConversion"/>
  <conditionalFormatting sqref="Q24">
    <cfRule type="cellIs" dxfId="2" priority="18" operator="equal">
      <formula>"ON"</formula>
    </cfRule>
  </conditionalFormatting>
  <conditionalFormatting sqref="S10:U22">
    <cfRule type="cellIs" dxfId="1" priority="1" operator="equal">
      <formula>"ON"</formula>
    </cfRule>
  </conditionalFormatting>
  <conditionalFormatting sqref="S24:U24">
    <cfRule type="cellIs" dxfId="0" priority="19" operator="equal">
      <formula>"ON"</formula>
    </cfRule>
  </conditionalFormatting>
  <dataValidations count="3">
    <dataValidation type="decimal" operator="greaterThan" allowBlank="1" showInputMessage="1" showErrorMessage="1" sqref="E7">
      <formula1>0</formula1>
    </dataValidation>
    <dataValidation type="decimal" allowBlank="1" showInputMessage="1" showErrorMessage="1" sqref="E5:E6">
      <formula1>0</formula1>
      <formula2>8000</formula2>
    </dataValidation>
    <dataValidation type="decimal" allowBlank="1" showInputMessage="1" showErrorMessage="1" sqref="E3">
      <formula1>0</formula1>
      <formula2>100</formula2>
    </dataValidation>
  </dataValidations>
  <hyperlinks>
    <hyperlink ref="Q19" r:id="rId1"/>
    <hyperlink ref="Q20" r:id="rId2"/>
    <hyperlink ref="Q21" r:id="rId3"/>
  </hyperlinks>
  <pageMargins left="0.7" right="0.7" top="0.75" bottom="0.75" header="0.3" footer="0.3"/>
  <pageSetup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10" zoomScale="55" zoomScaleNormal="55" workbookViewId="0">
      <selection activeCell="AK62" sqref="AK62"/>
    </sheetView>
  </sheetViews>
  <sheetFormatPr defaultRowHeight="14.25" x14ac:dyDescent="0.2"/>
  <sheetData/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BH66F2452+HT32F69595功耗评估(1.5V)</vt:lpstr>
      <vt:lpstr>HT32F67595功耗圖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2025-06-18T08:03:37Z</dcterms:modified>
</cp:coreProperties>
</file>